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7.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8.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9.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rawings/drawing10.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drawings/drawing1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66925"/>
  <mc:AlternateContent xmlns:mc="http://schemas.openxmlformats.org/markup-compatibility/2006">
    <mc:Choice Requires="x15">
      <x15ac:absPath xmlns:x15ac="http://schemas.microsoft.com/office/spreadsheetml/2010/11/ac" url="https://moysies.sharepoint.com/sites/UKDresdenFrdercontrolling/Freigegebene Dokumente/KHZG-Beratung FTB2/Ausschreibung/Austausch UKD FTB2/Vergabeunterlagen UKD FTB2/"/>
    </mc:Choice>
  </mc:AlternateContent>
  <xr:revisionPtr revIDLastSave="596" documentId="8_{D2FFDC39-A62F-40D5-8322-D70D8B129F64}" xr6:coauthVersionLast="47" xr6:coauthVersionMax="47" xr10:uidLastSave="{B1B80F04-F56F-45D8-B9D5-349951A9CC82}"/>
  <workbookProtection workbookAlgorithmName="SHA-512" workbookHashValue="g11KT8GCyVxYqB6wWiiCICDLBK3va5nKic04XMUPLYfb/8SYmAeI9ccmDPD0qjtIYMvGD1fed+7EEaDvPn4cdQ==" workbookSaltValue="nZdi5oHjNemThKJSJR5JlQ==" workbookSpinCount="100000" lockStructure="1"/>
  <bookViews>
    <workbookView xWindow="28680" yWindow="-120" windowWidth="29040" windowHeight="15720" tabRatio="911" firstSheet="2" activeTab="2" xr2:uid="{00000000-000D-0000-FFFF-FFFF00000000}"/>
  </bookViews>
  <sheets>
    <sheet name="Zuschlagserteilung" sheetId="46" state="hidden" r:id="rId1"/>
    <sheet name="Auswahlhilfe" sheetId="11" state="hidden" r:id="rId2"/>
    <sheet name="Inhalt &amp; Hinweise" sheetId="26" r:id="rId3"/>
    <sheet name="Allg. Bieterangaben" sheetId="5" r:id="rId4"/>
    <sheet name="Tabelle1" sheetId="47" state="hidden" r:id="rId5"/>
    <sheet name="01-KHZG Kriterien" sheetId="41" r:id="rId6"/>
    <sheet name="02-Generelle Anforderungen" sheetId="72" r:id="rId7"/>
    <sheet name="03-Basisfunktionalitäten" sheetId="71" r:id="rId8"/>
    <sheet name="04-Funktionale Anforderungen" sheetId="56" r:id="rId9"/>
    <sheet name="05-Datenschutz &amp; Informations." sheetId="62" r:id="rId10"/>
    <sheet name="K - Konzepte" sheetId="67" r:id="rId11"/>
    <sheet name="B - Bieterpräsentation" sheetId="69" r:id="rId12"/>
    <sheet name="P - Preisblatt" sheetId="68" r:id="rId13"/>
    <sheet name="Auswertung" sheetId="66" r:id="rId14"/>
  </sheets>
  <externalReferences>
    <externalReference r:id="rId15"/>
    <externalReference r:id="rId16"/>
    <externalReference r:id="rId17"/>
  </externalReferences>
  <definedNames>
    <definedName name="_xlnm._FilterDatabase" localSheetId="5" hidden="1">'01-KHZG Kriterien'!$A$9:$M$25</definedName>
    <definedName name="_xlnm._FilterDatabase" localSheetId="6" hidden="1">'02-Generelle Anforderungen'!$A$9:$M$26</definedName>
    <definedName name="_xlnm._FilterDatabase" localSheetId="7" hidden="1">'03-Basisfunktionalitäten'!$A$9:$M$101</definedName>
    <definedName name="_xlnm._FilterDatabase" localSheetId="8" hidden="1">'04-Funktionale Anforderungen'!$A$9:$M$179</definedName>
    <definedName name="_xlnm._FilterDatabase" localSheetId="9" hidden="1">'05-Datenschutz &amp; Informations.'!$A$9:$M$33</definedName>
    <definedName name="_xlnm._FilterDatabase" localSheetId="3" hidden="1">'Allg. Bieterangaben'!#REF!</definedName>
    <definedName name="_xlnm._FilterDatabase" localSheetId="1" hidden="1">Auswahlhilfe!$I$10:$I$68</definedName>
    <definedName name="_xlnm._FilterDatabase" localSheetId="11" hidden="1">'B - Bieterpräsentation'!$A$9:$M$63</definedName>
    <definedName name="_xlnm._FilterDatabase" localSheetId="10" hidden="1">'K - Konzepte'!$A$46:$M$67</definedName>
    <definedName name="_xlnm._FilterDatabase" localSheetId="0" hidden="1">Zuschlagserteilung!$B$7:$D$48</definedName>
    <definedName name="Betrieb_extern">'[1]1.3 Betrieb'!#REF!</definedName>
    <definedName name="Bi">[2]Parameter!$B$2</definedName>
    <definedName name="Bj">[2]Parameter!$B$3</definedName>
    <definedName name="Eintrittswahrscheinlichkeit">[3]Ausfüllhilfe!$C$113:$C$115</definedName>
    <definedName name="Krankenhausträger">'[1]0 Projektdaten'!#REF!</definedName>
    <definedName name="Risikowahrscheinlichkeit">[1]Ausfüllhilfe!$C$97:$C$101</definedName>
    <definedName name="seab">#REF!</definedName>
    <definedName name="sex">#REF!</definedName>
    <definedName name="sez">#REF!</definedName>
    <definedName name="Sond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69" l="1"/>
  <c r="K43" i="69"/>
  <c r="K44" i="69"/>
  <c r="K45" i="69"/>
  <c r="K46" i="69"/>
  <c r="K47" i="69"/>
  <c r="K48" i="69"/>
  <c r="K49" i="69"/>
  <c r="K50" i="69"/>
  <c r="K51" i="69"/>
  <c r="K52" i="69"/>
  <c r="K53" i="69"/>
  <c r="K54" i="69"/>
  <c r="K55" i="69"/>
  <c r="K56" i="69"/>
  <c r="K57" i="69"/>
  <c r="K58" i="69"/>
  <c r="K59" i="69"/>
  <c r="K60" i="69"/>
  <c r="K61" i="69"/>
  <c r="K62" i="69"/>
  <c r="K63" i="69"/>
  <c r="K41" i="69"/>
  <c r="L41" i="69" s="1"/>
  <c r="I41" i="68"/>
  <c r="J23" i="71"/>
  <c r="J24" i="71"/>
  <c r="K121" i="56"/>
  <c r="K120" i="56"/>
  <c r="A121" i="56"/>
  <c r="I121" i="56"/>
  <c r="J121" i="56"/>
  <c r="M121" i="56"/>
  <c r="Q121" i="56" s="1"/>
  <c r="M27" i="72"/>
  <c r="T27" i="72" s="1"/>
  <c r="K27" i="72"/>
  <c r="J27" i="72"/>
  <c r="I27" i="72"/>
  <c r="A27" i="72"/>
  <c r="L119" i="56"/>
  <c r="K119" i="56"/>
  <c r="J119" i="56"/>
  <c r="I119" i="56"/>
  <c r="M125" i="56"/>
  <c r="I125" i="56"/>
  <c r="J125" i="56"/>
  <c r="K125" i="56"/>
  <c r="L125" i="56"/>
  <c r="I169" i="56"/>
  <c r="J169" i="56"/>
  <c r="K169" i="56"/>
  <c r="M169" i="56"/>
  <c r="I170" i="56"/>
  <c r="J170" i="56"/>
  <c r="K170" i="56"/>
  <c r="M170" i="56"/>
  <c r="I146" i="56"/>
  <c r="J146" i="56"/>
  <c r="K146" i="56"/>
  <c r="M146" i="56"/>
  <c r="P146" i="56" s="1"/>
  <c r="A120" i="56"/>
  <c r="I120" i="56"/>
  <c r="J120" i="56"/>
  <c r="M120" i="56"/>
  <c r="S120" i="56" s="1"/>
  <c r="I26" i="72"/>
  <c r="J26" i="72"/>
  <c r="K26" i="72"/>
  <c r="L26" i="72"/>
  <c r="M26" i="72"/>
  <c r="R26" i="72" s="1"/>
  <c r="A26" i="72"/>
  <c r="A25" i="72"/>
  <c r="I25" i="72"/>
  <c r="J25" i="72"/>
  <c r="K25" i="72"/>
  <c r="L25" i="72" s="1"/>
  <c r="M25" i="72"/>
  <c r="P25" i="72" s="1"/>
  <c r="I25" i="68"/>
  <c r="J25" i="68"/>
  <c r="I37" i="68"/>
  <c r="J37" i="68"/>
  <c r="I23" i="68"/>
  <c r="I14" i="68"/>
  <c r="J14" i="68"/>
  <c r="I15" i="68"/>
  <c r="J15" i="68"/>
  <c r="M115" i="56"/>
  <c r="Q115" i="56" s="1"/>
  <c r="K115" i="56"/>
  <c r="J115" i="56"/>
  <c r="I115" i="56"/>
  <c r="A115" i="56"/>
  <c r="A25" i="41"/>
  <c r="I20" i="72"/>
  <c r="J20" i="72"/>
  <c r="K20" i="72"/>
  <c r="L20" i="72"/>
  <c r="M20" i="72"/>
  <c r="T20" i="72" s="1"/>
  <c r="I67" i="71"/>
  <c r="J67" i="71"/>
  <c r="K67" i="71"/>
  <c r="L67" i="71" s="1"/>
  <c r="M67" i="71"/>
  <c r="T67" i="71" s="1"/>
  <c r="P68" i="71"/>
  <c r="Q68" i="71"/>
  <c r="R68" i="71"/>
  <c r="S68" i="71"/>
  <c r="T68" i="71"/>
  <c r="L27" i="72" l="1"/>
  <c r="L121" i="56"/>
  <c r="T121" i="56"/>
  <c r="R121" i="56"/>
  <c r="P121" i="56"/>
  <c r="S121" i="56"/>
  <c r="S27" i="72"/>
  <c r="P27" i="72"/>
  <c r="Q27" i="72"/>
  <c r="L170" i="56"/>
  <c r="R27" i="72"/>
  <c r="L146" i="56"/>
  <c r="L169" i="56"/>
  <c r="T146" i="56"/>
  <c r="R146" i="56"/>
  <c r="S146" i="56"/>
  <c r="Q146" i="56"/>
  <c r="L120" i="56"/>
  <c r="T120" i="56"/>
  <c r="R120" i="56"/>
  <c r="Q120" i="56"/>
  <c r="P120" i="56"/>
  <c r="T26" i="72"/>
  <c r="S26" i="72"/>
  <c r="Q26" i="72"/>
  <c r="P26" i="72"/>
  <c r="R25" i="72"/>
  <c r="T25" i="72"/>
  <c r="S25" i="72"/>
  <c r="Q25" i="72"/>
  <c r="S67" i="71"/>
  <c r="R67" i="71"/>
  <c r="P67" i="71"/>
  <c r="P115" i="56"/>
  <c r="R115" i="56"/>
  <c r="T115" i="56"/>
  <c r="S115" i="56"/>
  <c r="L115" i="56"/>
  <c r="P20" i="72"/>
  <c r="Q20" i="72"/>
  <c r="R20" i="72"/>
  <c r="S20" i="72"/>
  <c r="Q67" i="71"/>
  <c r="M28" i="71" l="1"/>
  <c r="I12" i="71"/>
  <c r="J12" i="71"/>
  <c r="K12" i="71"/>
  <c r="L12" i="71"/>
  <c r="M12" i="71"/>
  <c r="I13" i="71"/>
  <c r="J13" i="71"/>
  <c r="K13" i="71"/>
  <c r="L13" i="71"/>
  <c r="M13" i="71"/>
  <c r="I14" i="71"/>
  <c r="J14" i="71"/>
  <c r="K14" i="71"/>
  <c r="L14" i="71"/>
  <c r="M14" i="71"/>
  <c r="I15" i="71"/>
  <c r="J15" i="71"/>
  <c r="K15" i="71"/>
  <c r="L15" i="71"/>
  <c r="M15" i="71"/>
  <c r="I16" i="71"/>
  <c r="J16" i="71"/>
  <c r="K16" i="71"/>
  <c r="L16" i="71"/>
  <c r="M16" i="71"/>
  <c r="I17" i="71"/>
  <c r="J17" i="71"/>
  <c r="K17" i="71"/>
  <c r="L17" i="71"/>
  <c r="M17" i="71"/>
  <c r="I18" i="71"/>
  <c r="J18" i="71"/>
  <c r="K18" i="71"/>
  <c r="M18" i="71"/>
  <c r="I19" i="71"/>
  <c r="J19" i="71"/>
  <c r="K19" i="71"/>
  <c r="L19" i="71"/>
  <c r="M19" i="71"/>
  <c r="I20" i="71"/>
  <c r="J20" i="71"/>
  <c r="K20" i="71"/>
  <c r="L20" i="71"/>
  <c r="M20" i="71"/>
  <c r="I21" i="71"/>
  <c r="J21" i="71"/>
  <c r="K21" i="71"/>
  <c r="L21" i="71"/>
  <c r="M21" i="71"/>
  <c r="I22" i="71"/>
  <c r="J22" i="71"/>
  <c r="K22" i="71"/>
  <c r="L22" i="71"/>
  <c r="M22" i="71"/>
  <c r="I23" i="71"/>
  <c r="K23" i="71"/>
  <c r="M23" i="71"/>
  <c r="I24" i="71"/>
  <c r="K24" i="71"/>
  <c r="M24" i="71"/>
  <c r="I25" i="71"/>
  <c r="J25" i="71"/>
  <c r="K25" i="71"/>
  <c r="M25" i="71"/>
  <c r="I26" i="71"/>
  <c r="J26" i="71"/>
  <c r="K26" i="71"/>
  <c r="L26" i="71"/>
  <c r="M26" i="71"/>
  <c r="I27" i="71"/>
  <c r="J27" i="71"/>
  <c r="K27" i="71"/>
  <c r="L27" i="71"/>
  <c r="M27" i="71"/>
  <c r="I28" i="71"/>
  <c r="J28" i="71"/>
  <c r="K28" i="71"/>
  <c r="L28" i="71"/>
  <c r="I29" i="71"/>
  <c r="J29" i="71"/>
  <c r="K29" i="71"/>
  <c r="L29" i="71"/>
  <c r="M29" i="71"/>
  <c r="A53" i="71"/>
  <c r="A54" i="71"/>
  <c r="A55" i="71"/>
  <c r="A56" i="71"/>
  <c r="A57" i="71"/>
  <c r="A58" i="71"/>
  <c r="A59" i="71"/>
  <c r="A60" i="71"/>
  <c r="A61" i="71"/>
  <c r="A62" i="71"/>
  <c r="A63" i="71"/>
  <c r="A64" i="71"/>
  <c r="A65" i="71"/>
  <c r="A66" i="71"/>
  <c r="A67" i="71"/>
  <c r="A68" i="71"/>
  <c r="A69" i="71"/>
  <c r="A70" i="71"/>
  <c r="A71" i="71"/>
  <c r="A72" i="71"/>
  <c r="A73" i="71"/>
  <c r="A74" i="71"/>
  <c r="A75" i="71"/>
  <c r="A76" i="71"/>
  <c r="A77" i="71"/>
  <c r="A78" i="71"/>
  <c r="A79" i="71"/>
  <c r="A80" i="71"/>
  <c r="A81" i="71"/>
  <c r="A82" i="71"/>
  <c r="A83" i="71"/>
  <c r="A84" i="71"/>
  <c r="A85" i="71"/>
  <c r="A86" i="71"/>
  <c r="A87" i="71"/>
  <c r="A88" i="71"/>
  <c r="A89" i="71"/>
  <c r="A90" i="71"/>
  <c r="A91" i="71"/>
  <c r="A92" i="71"/>
  <c r="A93" i="71"/>
  <c r="A94" i="71"/>
  <c r="A95" i="71"/>
  <c r="A96" i="71"/>
  <c r="A97" i="71"/>
  <c r="A98" i="71"/>
  <c r="A99" i="71"/>
  <c r="A100" i="71"/>
  <c r="A101" i="71"/>
  <c r="A20" i="72"/>
  <c r="I38" i="68"/>
  <c r="J38" i="68"/>
  <c r="M24" i="72"/>
  <c r="K24" i="72"/>
  <c r="J24" i="72"/>
  <c r="I24" i="72"/>
  <c r="A24" i="72"/>
  <c r="M23" i="72"/>
  <c r="K23" i="72"/>
  <c r="J23" i="72"/>
  <c r="I23" i="72"/>
  <c r="A23" i="72"/>
  <c r="M22" i="72"/>
  <c r="K22" i="72"/>
  <c r="J22" i="72"/>
  <c r="I22" i="72"/>
  <c r="A22" i="72"/>
  <c r="I19" i="72"/>
  <c r="J19" i="72"/>
  <c r="K19" i="72"/>
  <c r="M19" i="72"/>
  <c r="I21" i="72"/>
  <c r="J21" i="72"/>
  <c r="K21" i="72"/>
  <c r="L21" i="72"/>
  <c r="M21" i="72"/>
  <c r="A19" i="72"/>
  <c r="A21" i="72"/>
  <c r="I13" i="72"/>
  <c r="J13" i="72"/>
  <c r="K13" i="72"/>
  <c r="L13" i="72"/>
  <c r="M13" i="72"/>
  <c r="M18" i="72"/>
  <c r="L18" i="72"/>
  <c r="K18" i="72"/>
  <c r="J18" i="72"/>
  <c r="I18" i="72"/>
  <c r="A18" i="72"/>
  <c r="M17" i="72"/>
  <c r="K17" i="72"/>
  <c r="J17" i="72"/>
  <c r="I17" i="72"/>
  <c r="L17" i="72" s="1"/>
  <c r="A17" i="72"/>
  <c r="M16" i="72"/>
  <c r="K16" i="72"/>
  <c r="J16" i="72"/>
  <c r="I16" i="72"/>
  <c r="A16" i="72"/>
  <c r="M15" i="72"/>
  <c r="K15" i="72"/>
  <c r="J15" i="72"/>
  <c r="I15" i="72"/>
  <c r="A15" i="72"/>
  <c r="M14" i="72"/>
  <c r="L14" i="72"/>
  <c r="K14" i="72"/>
  <c r="J14" i="72"/>
  <c r="I14" i="72"/>
  <c r="A14" i="72"/>
  <c r="M12" i="72"/>
  <c r="L12" i="72"/>
  <c r="K12" i="72"/>
  <c r="J12" i="72"/>
  <c r="I12" i="72"/>
  <c r="A12" i="72"/>
  <c r="M11" i="72"/>
  <c r="T11" i="72" s="1"/>
  <c r="L11" i="72"/>
  <c r="K11" i="72"/>
  <c r="J11" i="72"/>
  <c r="I11" i="72"/>
  <c r="A11" i="72"/>
  <c r="M10" i="72"/>
  <c r="L10" i="72"/>
  <c r="K10" i="72"/>
  <c r="J10" i="72"/>
  <c r="I10" i="72"/>
  <c r="A10" i="72"/>
  <c r="B2" i="72"/>
  <c r="A27" i="71"/>
  <c r="A17" i="71"/>
  <c r="A12" i="71"/>
  <c r="A13" i="71"/>
  <c r="A14" i="71"/>
  <c r="A15" i="71"/>
  <c r="A16" i="71"/>
  <c r="A18" i="71"/>
  <c r="A19" i="71"/>
  <c r="A20" i="71"/>
  <c r="A21" i="71"/>
  <c r="A22" i="71"/>
  <c r="A23" i="71"/>
  <c r="A24" i="71"/>
  <c r="A25" i="71"/>
  <c r="A26" i="71"/>
  <c r="P23" i="71" l="1"/>
  <c r="Q23" i="71"/>
  <c r="R23" i="71"/>
  <c r="S23" i="71"/>
  <c r="T23" i="71"/>
  <c r="P18" i="71"/>
  <c r="Q18" i="71"/>
  <c r="R18" i="71"/>
  <c r="S18" i="71"/>
  <c r="T18" i="71"/>
  <c r="Q13" i="71"/>
  <c r="P13" i="71"/>
  <c r="R13" i="71"/>
  <c r="S13" i="71"/>
  <c r="T13" i="71"/>
  <c r="P20" i="71"/>
  <c r="R20" i="71"/>
  <c r="Q20" i="71"/>
  <c r="S20" i="71"/>
  <c r="T20" i="71"/>
  <c r="P15" i="71"/>
  <c r="S15" i="71"/>
  <c r="Q15" i="71"/>
  <c r="R15" i="71"/>
  <c r="T15" i="71"/>
  <c r="Q22" i="71"/>
  <c r="R22" i="71"/>
  <c r="T22" i="71"/>
  <c r="S22" i="71"/>
  <c r="P22" i="71"/>
  <c r="R17" i="71"/>
  <c r="S17" i="71"/>
  <c r="T17" i="71"/>
  <c r="Q17" i="71"/>
  <c r="P17" i="71"/>
  <c r="P26" i="71"/>
  <c r="T26" i="71"/>
  <c r="Q26" i="71"/>
  <c r="R26" i="71"/>
  <c r="S26" i="71"/>
  <c r="Q25" i="71"/>
  <c r="P25" i="71"/>
  <c r="R25" i="71"/>
  <c r="T25" i="71"/>
  <c r="S25" i="71"/>
  <c r="S12" i="71"/>
  <c r="T12" i="71"/>
  <c r="P12" i="71"/>
  <c r="Q12" i="71"/>
  <c r="R12" i="71"/>
  <c r="P27" i="71"/>
  <c r="Q27" i="71"/>
  <c r="R27" i="71"/>
  <c r="S27" i="71"/>
  <c r="T27" i="71"/>
  <c r="T19" i="71"/>
  <c r="P19" i="71"/>
  <c r="Q19" i="71"/>
  <c r="S19" i="71"/>
  <c r="R19" i="71"/>
  <c r="P14" i="71"/>
  <c r="Q14" i="71"/>
  <c r="R14" i="71"/>
  <c r="S14" i="71"/>
  <c r="T14" i="71"/>
  <c r="S24" i="71"/>
  <c r="T24" i="71"/>
  <c r="R24" i="71"/>
  <c r="P24" i="71"/>
  <c r="Q24" i="71"/>
  <c r="L24" i="71"/>
  <c r="P21" i="71"/>
  <c r="Q21" i="71"/>
  <c r="R21" i="71"/>
  <c r="S21" i="71"/>
  <c r="T21" i="71"/>
  <c r="Q16" i="71"/>
  <c r="P16" i="71"/>
  <c r="R16" i="71"/>
  <c r="S16" i="71"/>
  <c r="T16" i="71"/>
  <c r="R29" i="71"/>
  <c r="S29" i="71"/>
  <c r="T29" i="71"/>
  <c r="Q29" i="71"/>
  <c r="P29" i="71"/>
  <c r="P28" i="71"/>
  <c r="Q28" i="71"/>
  <c r="R28" i="71"/>
  <c r="S28" i="71"/>
  <c r="T28" i="71"/>
  <c r="R23" i="72"/>
  <c r="Q23" i="72"/>
  <c r="T23" i="72"/>
  <c r="S23" i="72"/>
  <c r="P23" i="72"/>
  <c r="T21" i="72"/>
  <c r="S21" i="72"/>
  <c r="R21" i="72"/>
  <c r="Q21" i="72"/>
  <c r="P21" i="72"/>
  <c r="Q17" i="72"/>
  <c r="T17" i="72"/>
  <c r="P17" i="72"/>
  <c r="S17" i="72"/>
  <c r="R17" i="72"/>
  <c r="R12" i="72"/>
  <c r="S12" i="72"/>
  <c r="Q12" i="72"/>
  <c r="P12" i="72"/>
  <c r="T12" i="72"/>
  <c r="P18" i="72"/>
  <c r="T18" i="72"/>
  <c r="S18" i="72"/>
  <c r="Q18" i="72"/>
  <c r="R18" i="72"/>
  <c r="T24" i="72"/>
  <c r="S24" i="72"/>
  <c r="R24" i="72"/>
  <c r="Q24" i="72"/>
  <c r="P24" i="72"/>
  <c r="Q15" i="72"/>
  <c r="P15" i="72"/>
  <c r="S15" i="72"/>
  <c r="T15" i="72"/>
  <c r="R15" i="72"/>
  <c r="P13" i="72"/>
  <c r="Q13" i="72"/>
  <c r="T13" i="72"/>
  <c r="S13" i="72"/>
  <c r="R13" i="72"/>
  <c r="S19" i="72"/>
  <c r="R19" i="72"/>
  <c r="Q19" i="72"/>
  <c r="P19" i="72"/>
  <c r="T19" i="72"/>
  <c r="T16" i="72"/>
  <c r="S16" i="72"/>
  <c r="R16" i="72"/>
  <c r="Q16" i="72"/>
  <c r="P16" i="72"/>
  <c r="R22" i="72"/>
  <c r="Q22" i="72"/>
  <c r="P22" i="72"/>
  <c r="S22" i="72"/>
  <c r="T22" i="72"/>
  <c r="T14" i="72"/>
  <c r="S14" i="72"/>
  <c r="R14" i="72"/>
  <c r="Q14" i="72"/>
  <c r="P14" i="72"/>
  <c r="E22" i="66"/>
  <c r="L18" i="71"/>
  <c r="L25" i="71"/>
  <c r="L23" i="71"/>
  <c r="L22" i="72"/>
  <c r="L23" i="72"/>
  <c r="L24" i="72"/>
  <c r="L19" i="72"/>
  <c r="L15" i="72"/>
  <c r="L16" i="72"/>
  <c r="P11" i="72"/>
  <c r="Q11" i="72"/>
  <c r="R11" i="72"/>
  <c r="S11" i="72"/>
  <c r="Q8" i="72" l="1"/>
  <c r="T8" i="72"/>
  <c r="P8" i="72"/>
  <c r="R8" i="72"/>
  <c r="S8" i="72"/>
  <c r="C7" i="72"/>
  <c r="C6" i="72" l="1"/>
  <c r="C22" i="66"/>
  <c r="D22" i="66" s="1"/>
  <c r="C5" i="72"/>
  <c r="D40" i="66"/>
  <c r="G22" i="66" l="1"/>
  <c r="I22" i="62"/>
  <c r="J22" i="62"/>
  <c r="K22" i="62"/>
  <c r="L22" i="62"/>
  <c r="M22" i="62"/>
  <c r="P22" i="62" s="1"/>
  <c r="I23" i="62"/>
  <c r="J23" i="62"/>
  <c r="K23" i="62"/>
  <c r="L23" i="62"/>
  <c r="M23" i="62"/>
  <c r="P23" i="62" s="1"/>
  <c r="I24" i="62"/>
  <c r="J24" i="62"/>
  <c r="K24" i="62"/>
  <c r="L24" i="62"/>
  <c r="M24" i="62"/>
  <c r="P24" i="62" s="1"/>
  <c r="A22" i="62"/>
  <c r="A23" i="62"/>
  <c r="A24" i="62"/>
  <c r="T23" i="62" l="1"/>
  <c r="T22" i="62"/>
  <c r="S23" i="62"/>
  <c r="R24" i="62"/>
  <c r="S22" i="62"/>
  <c r="R22" i="62"/>
  <c r="R23" i="62"/>
  <c r="T24" i="62"/>
  <c r="Q23" i="62"/>
  <c r="Q24" i="62"/>
  <c r="S24" i="62"/>
  <c r="Q22" i="62"/>
  <c r="I13" i="62"/>
  <c r="J13" i="62"/>
  <c r="K13" i="62"/>
  <c r="M13" i="62"/>
  <c r="P13" i="62" s="1"/>
  <c r="I14" i="62"/>
  <c r="J14" i="62"/>
  <c r="K14" i="62"/>
  <c r="M14" i="62"/>
  <c r="T14" i="62" s="1"/>
  <c r="I15" i="62"/>
  <c r="J15" i="62"/>
  <c r="K15" i="62"/>
  <c r="M15" i="62"/>
  <c r="P15" i="62" s="1"/>
  <c r="I16" i="62"/>
  <c r="J16" i="62"/>
  <c r="K16" i="62"/>
  <c r="L16" i="62"/>
  <c r="M16" i="62"/>
  <c r="P16" i="62" s="1"/>
  <c r="I17" i="62"/>
  <c r="J17" i="62"/>
  <c r="K17" i="62"/>
  <c r="L17" i="62"/>
  <c r="M17" i="62"/>
  <c r="Q17" i="62" s="1"/>
  <c r="I18" i="62"/>
  <c r="J18" i="62"/>
  <c r="K18" i="62"/>
  <c r="L18" i="62"/>
  <c r="M18" i="62"/>
  <c r="P18" i="62" s="1"/>
  <c r="I19" i="62"/>
  <c r="J19" i="62"/>
  <c r="K19" i="62"/>
  <c r="L19" i="62"/>
  <c r="M19" i="62"/>
  <c r="S19" i="62" s="1"/>
  <c r="I20" i="62"/>
  <c r="J20" i="62"/>
  <c r="K20" i="62"/>
  <c r="L20" i="62"/>
  <c r="M20" i="62"/>
  <c r="P20" i="62" s="1"/>
  <c r="I21" i="62"/>
  <c r="J21" i="62"/>
  <c r="K21" i="62"/>
  <c r="L21" i="62"/>
  <c r="M21" i="62"/>
  <c r="P21" i="62" s="1"/>
  <c r="I25" i="62"/>
  <c r="J25" i="62"/>
  <c r="K25" i="62"/>
  <c r="L25" i="62"/>
  <c r="M25" i="62"/>
  <c r="P25" i="62" s="1"/>
  <c r="I13" i="56"/>
  <c r="J13" i="56"/>
  <c r="K13" i="56"/>
  <c r="L13" i="56"/>
  <c r="M13" i="56"/>
  <c r="P13" i="56" s="1"/>
  <c r="I14" i="56"/>
  <c r="J14" i="56"/>
  <c r="K14" i="56"/>
  <c r="M14" i="56"/>
  <c r="P14" i="56" s="1"/>
  <c r="I15" i="56"/>
  <c r="J15" i="56"/>
  <c r="K15" i="56" s="1"/>
  <c r="M15" i="56"/>
  <c r="P15" i="56" s="1"/>
  <c r="I16" i="56"/>
  <c r="J16" i="56"/>
  <c r="K16" i="56" s="1"/>
  <c r="M16" i="56"/>
  <c r="I17" i="56"/>
  <c r="J17" i="56"/>
  <c r="K17" i="56"/>
  <c r="M17" i="56"/>
  <c r="P17" i="56" s="1"/>
  <c r="I18" i="56"/>
  <c r="J18" i="56"/>
  <c r="K18" i="56" s="1"/>
  <c r="M18" i="56"/>
  <c r="R18" i="56" s="1"/>
  <c r="I19" i="56"/>
  <c r="J19" i="56"/>
  <c r="K19" i="56" s="1"/>
  <c r="M19" i="56"/>
  <c r="I20" i="56"/>
  <c r="J20" i="56"/>
  <c r="K20" i="56"/>
  <c r="M20" i="56"/>
  <c r="T20" i="56" s="1"/>
  <c r="I21" i="56"/>
  <c r="J21" i="56"/>
  <c r="K21" i="56"/>
  <c r="L21" i="56"/>
  <c r="M21" i="56"/>
  <c r="I22" i="56"/>
  <c r="J22" i="56"/>
  <c r="K22" i="56" s="1"/>
  <c r="M22" i="56"/>
  <c r="P22" i="56" s="1"/>
  <c r="I23" i="56"/>
  <c r="J23" i="56"/>
  <c r="K23" i="56"/>
  <c r="M23" i="56"/>
  <c r="Q23" i="56" s="1"/>
  <c r="I24" i="56"/>
  <c r="J24" i="56"/>
  <c r="K24" i="56"/>
  <c r="M24" i="56"/>
  <c r="I25" i="56"/>
  <c r="J25" i="56"/>
  <c r="K25" i="56" s="1"/>
  <c r="M25" i="56"/>
  <c r="S25" i="56" s="1"/>
  <c r="I26" i="56"/>
  <c r="J26" i="56"/>
  <c r="K26" i="56"/>
  <c r="M26" i="56"/>
  <c r="P26" i="56" s="1"/>
  <c r="I27" i="56"/>
  <c r="J27" i="56"/>
  <c r="K27" i="56"/>
  <c r="M27" i="56"/>
  <c r="R27" i="56" s="1"/>
  <c r="I28" i="56"/>
  <c r="J28" i="56"/>
  <c r="K28" i="56"/>
  <c r="L28" i="56"/>
  <c r="M28" i="56"/>
  <c r="P28" i="56" s="1"/>
  <c r="I29" i="56"/>
  <c r="J29" i="56"/>
  <c r="K29" i="56" s="1"/>
  <c r="M29" i="56"/>
  <c r="P29" i="56" s="1"/>
  <c r="I30" i="56"/>
  <c r="J30" i="56"/>
  <c r="K30" i="56" s="1"/>
  <c r="M30" i="56"/>
  <c r="R30" i="56" s="1"/>
  <c r="I31" i="56"/>
  <c r="J31" i="56"/>
  <c r="K31" i="56" s="1"/>
  <c r="M31" i="56"/>
  <c r="P31" i="56" s="1"/>
  <c r="I32" i="56"/>
  <c r="J32" i="56"/>
  <c r="K32" i="56"/>
  <c r="M32" i="56"/>
  <c r="T32" i="56" s="1"/>
  <c r="I33" i="56"/>
  <c r="J33" i="56"/>
  <c r="K33" i="56"/>
  <c r="M33" i="56"/>
  <c r="P33" i="56" s="1"/>
  <c r="I34" i="56"/>
  <c r="J34" i="56"/>
  <c r="K34" i="56" s="1"/>
  <c r="M34" i="56"/>
  <c r="P34" i="56" s="1"/>
  <c r="I35" i="56"/>
  <c r="J35" i="56"/>
  <c r="K35" i="56"/>
  <c r="M35" i="56"/>
  <c r="Q35" i="56" s="1"/>
  <c r="I36" i="56"/>
  <c r="J36" i="56"/>
  <c r="K36" i="56"/>
  <c r="L36" i="56"/>
  <c r="M36" i="56"/>
  <c r="P36" i="56" s="1"/>
  <c r="I37" i="56"/>
  <c r="J37" i="56"/>
  <c r="K37" i="56"/>
  <c r="L37" i="56"/>
  <c r="M37" i="56"/>
  <c r="P37" i="56" s="1"/>
  <c r="I38" i="56"/>
  <c r="J38" i="56"/>
  <c r="K38" i="56" s="1"/>
  <c r="M38" i="56"/>
  <c r="P38" i="56" s="1"/>
  <c r="I39" i="56"/>
  <c r="J39" i="56"/>
  <c r="K39" i="56"/>
  <c r="L39" i="56"/>
  <c r="M39" i="56"/>
  <c r="P39" i="56" s="1"/>
  <c r="I40" i="56"/>
  <c r="J40" i="56"/>
  <c r="K40" i="56"/>
  <c r="L40" i="56"/>
  <c r="M40" i="56"/>
  <c r="P40" i="56" s="1"/>
  <c r="I41" i="56"/>
  <c r="J41" i="56"/>
  <c r="K41" i="56"/>
  <c r="M41" i="56"/>
  <c r="P41" i="56" s="1"/>
  <c r="I42" i="56"/>
  <c r="J42" i="56"/>
  <c r="K42" i="56" s="1"/>
  <c r="M42" i="56"/>
  <c r="R42" i="56" s="1"/>
  <c r="I43" i="56"/>
  <c r="J43" i="56"/>
  <c r="K43" i="56"/>
  <c r="M43" i="56"/>
  <c r="P43" i="56" s="1"/>
  <c r="I44" i="56"/>
  <c r="J44" i="56"/>
  <c r="K44" i="56"/>
  <c r="M44" i="56"/>
  <c r="Q44" i="56" s="1"/>
  <c r="I45" i="56"/>
  <c r="J45" i="56"/>
  <c r="K45" i="56" s="1"/>
  <c r="M45" i="56"/>
  <c r="T45" i="56" s="1"/>
  <c r="I46" i="56"/>
  <c r="J46" i="56"/>
  <c r="K46" i="56"/>
  <c r="M46" i="56"/>
  <c r="I47" i="56"/>
  <c r="J47" i="56"/>
  <c r="K47" i="56"/>
  <c r="M47" i="56"/>
  <c r="P47" i="56" s="1"/>
  <c r="I48" i="56"/>
  <c r="J48" i="56"/>
  <c r="K48" i="56" s="1"/>
  <c r="M48" i="56"/>
  <c r="Q48" i="56" s="1"/>
  <c r="I49" i="56"/>
  <c r="J49" i="56"/>
  <c r="K49" i="56"/>
  <c r="L49" i="56"/>
  <c r="M49" i="56"/>
  <c r="P49" i="56" s="1"/>
  <c r="I50" i="56"/>
  <c r="J50" i="56"/>
  <c r="K50" i="56"/>
  <c r="L50" i="56"/>
  <c r="M50" i="56"/>
  <c r="S50" i="56" s="1"/>
  <c r="I51" i="56"/>
  <c r="J51" i="56"/>
  <c r="K51" i="56" s="1"/>
  <c r="M51" i="56"/>
  <c r="P51" i="56" s="1"/>
  <c r="I52" i="56"/>
  <c r="J52" i="56"/>
  <c r="K52" i="56" s="1"/>
  <c r="M52" i="56"/>
  <c r="P52" i="56" s="1"/>
  <c r="I53" i="56"/>
  <c r="J53" i="56"/>
  <c r="K53" i="56"/>
  <c r="L53" i="56"/>
  <c r="M53" i="56"/>
  <c r="P53" i="56" s="1"/>
  <c r="I54" i="56"/>
  <c r="J54" i="56"/>
  <c r="K54" i="56"/>
  <c r="L54" i="56"/>
  <c r="M54" i="56"/>
  <c r="P54" i="56" s="1"/>
  <c r="I55" i="56"/>
  <c r="J55" i="56"/>
  <c r="K55" i="56"/>
  <c r="M55" i="56"/>
  <c r="R55" i="56" s="1"/>
  <c r="I56" i="56"/>
  <c r="J56" i="56"/>
  <c r="K56" i="56"/>
  <c r="L56" i="56"/>
  <c r="M56" i="56"/>
  <c r="T56" i="56" s="1"/>
  <c r="I57" i="56"/>
  <c r="J57" i="56"/>
  <c r="K57" i="56"/>
  <c r="M57" i="56"/>
  <c r="P57" i="56" s="1"/>
  <c r="I58" i="56"/>
  <c r="J58" i="56"/>
  <c r="K58" i="56"/>
  <c r="M58" i="56"/>
  <c r="P58" i="56" s="1"/>
  <c r="I59" i="56"/>
  <c r="J59" i="56"/>
  <c r="K59" i="56" s="1"/>
  <c r="M59" i="56"/>
  <c r="Q59" i="56" s="1"/>
  <c r="I60" i="56"/>
  <c r="J60" i="56"/>
  <c r="K60" i="56"/>
  <c r="M60" i="56"/>
  <c r="P60" i="56" s="1"/>
  <c r="I61" i="56"/>
  <c r="J61" i="56"/>
  <c r="K61" i="56"/>
  <c r="L61" i="56"/>
  <c r="M61" i="56"/>
  <c r="P61" i="56" s="1"/>
  <c r="I62" i="56"/>
  <c r="J62" i="56"/>
  <c r="K62" i="56"/>
  <c r="M62" i="56"/>
  <c r="P62" i="56" s="1"/>
  <c r="I63" i="56"/>
  <c r="J63" i="56"/>
  <c r="K63" i="56" s="1"/>
  <c r="M63" i="56"/>
  <c r="I64" i="56"/>
  <c r="J64" i="56"/>
  <c r="K64" i="56"/>
  <c r="M64" i="56"/>
  <c r="P64" i="56" s="1"/>
  <c r="I65" i="56"/>
  <c r="J65" i="56"/>
  <c r="K65" i="56"/>
  <c r="M65" i="56"/>
  <c r="P65" i="56" s="1"/>
  <c r="I66" i="56"/>
  <c r="J66" i="56"/>
  <c r="K66" i="56" s="1"/>
  <c r="M66" i="56"/>
  <c r="P66" i="56" s="1"/>
  <c r="I67" i="56"/>
  <c r="J67" i="56"/>
  <c r="K67" i="56"/>
  <c r="M67" i="56"/>
  <c r="T67" i="56" s="1"/>
  <c r="I68" i="56"/>
  <c r="J68" i="56"/>
  <c r="K68" i="56"/>
  <c r="M68" i="56"/>
  <c r="P68" i="56" s="1"/>
  <c r="I69" i="56"/>
  <c r="J69" i="56"/>
  <c r="K69" i="56" s="1"/>
  <c r="M69" i="56"/>
  <c r="P69" i="56" s="1"/>
  <c r="I70" i="56"/>
  <c r="J70" i="56"/>
  <c r="K70" i="56"/>
  <c r="L70" i="56"/>
  <c r="M70" i="56"/>
  <c r="Q70" i="56" s="1"/>
  <c r="I71" i="56"/>
  <c r="J71" i="56"/>
  <c r="K71" i="56"/>
  <c r="L71" i="56"/>
  <c r="M71" i="56"/>
  <c r="P71" i="56" s="1"/>
  <c r="I72" i="56"/>
  <c r="J72" i="56"/>
  <c r="K72" i="56"/>
  <c r="L72" i="56"/>
  <c r="M72" i="56"/>
  <c r="S72" i="56" s="1"/>
  <c r="I73" i="56"/>
  <c r="J73" i="56"/>
  <c r="K73" i="56"/>
  <c r="M73" i="56"/>
  <c r="P73" i="56" s="1"/>
  <c r="I74" i="56"/>
  <c r="J74" i="56"/>
  <c r="K74" i="56"/>
  <c r="L74" i="56"/>
  <c r="M74" i="56"/>
  <c r="P74" i="56" s="1"/>
  <c r="I75" i="56"/>
  <c r="J75" i="56"/>
  <c r="K75" i="56"/>
  <c r="L75" i="56"/>
  <c r="M75" i="56"/>
  <c r="I76" i="56"/>
  <c r="J76" i="56"/>
  <c r="K76" i="56"/>
  <c r="L76" i="56"/>
  <c r="M76" i="56"/>
  <c r="P76" i="56" s="1"/>
  <c r="I77" i="56"/>
  <c r="J77" i="56"/>
  <c r="K77" i="56"/>
  <c r="L77" i="56"/>
  <c r="M77" i="56"/>
  <c r="R77" i="56" s="1"/>
  <c r="I78" i="56"/>
  <c r="J78" i="56"/>
  <c r="K78" i="56" s="1"/>
  <c r="M78" i="56"/>
  <c r="I79" i="56"/>
  <c r="J79" i="56"/>
  <c r="K79" i="56"/>
  <c r="M79" i="56"/>
  <c r="T79" i="56" s="1"/>
  <c r="I80" i="56"/>
  <c r="J80" i="56"/>
  <c r="K80" i="56"/>
  <c r="L80" i="56"/>
  <c r="M80" i="56"/>
  <c r="I81" i="56"/>
  <c r="J81" i="56"/>
  <c r="K81" i="56"/>
  <c r="L81" i="56"/>
  <c r="M81" i="56"/>
  <c r="P81" i="56" s="1"/>
  <c r="I82" i="56"/>
  <c r="J82" i="56"/>
  <c r="K82" i="56"/>
  <c r="L82" i="56"/>
  <c r="M82" i="56"/>
  <c r="Q82" i="56" s="1"/>
  <c r="I83" i="56"/>
  <c r="J83" i="56"/>
  <c r="K83" i="56"/>
  <c r="L83" i="56"/>
  <c r="M83" i="56"/>
  <c r="I84" i="56"/>
  <c r="J84" i="56"/>
  <c r="K84" i="56"/>
  <c r="M84" i="56"/>
  <c r="S84" i="56" s="1"/>
  <c r="I85" i="56"/>
  <c r="J85" i="56"/>
  <c r="K85" i="56"/>
  <c r="L85" i="56"/>
  <c r="M85" i="56"/>
  <c r="I86" i="56"/>
  <c r="J86" i="56"/>
  <c r="K86" i="56"/>
  <c r="M86" i="56"/>
  <c r="P86" i="56" s="1"/>
  <c r="I87" i="56"/>
  <c r="J87" i="56"/>
  <c r="K87" i="56" s="1"/>
  <c r="M87" i="56"/>
  <c r="P87" i="56" s="1"/>
  <c r="I88" i="56"/>
  <c r="J88" i="56"/>
  <c r="K88" i="56"/>
  <c r="M88" i="56"/>
  <c r="I89" i="56"/>
  <c r="J89" i="56"/>
  <c r="K89" i="56"/>
  <c r="M89" i="56"/>
  <c r="R89" i="56" s="1"/>
  <c r="I90" i="56"/>
  <c r="J90" i="56"/>
  <c r="K90" i="56"/>
  <c r="L90" i="56"/>
  <c r="M90" i="56"/>
  <c r="P90" i="56" s="1"/>
  <c r="I91" i="56"/>
  <c r="J91" i="56"/>
  <c r="K91" i="56"/>
  <c r="M91" i="56"/>
  <c r="T91" i="56" s="1"/>
  <c r="I92" i="56"/>
  <c r="J92" i="56"/>
  <c r="K92" i="56"/>
  <c r="M92" i="56"/>
  <c r="P92" i="56" s="1"/>
  <c r="I93" i="56"/>
  <c r="J93" i="56"/>
  <c r="K93" i="56" s="1"/>
  <c r="M93" i="56"/>
  <c r="P93" i="56" s="1"/>
  <c r="I94" i="56"/>
  <c r="J94" i="56"/>
  <c r="K94" i="56"/>
  <c r="L94" i="56"/>
  <c r="M94" i="56"/>
  <c r="P94" i="56" s="1"/>
  <c r="I95" i="56"/>
  <c r="J95" i="56"/>
  <c r="K95" i="56"/>
  <c r="L95" i="56"/>
  <c r="M95" i="56"/>
  <c r="R95" i="56" s="1"/>
  <c r="I96" i="56"/>
  <c r="J96" i="56"/>
  <c r="K96" i="56"/>
  <c r="L96" i="56"/>
  <c r="M96" i="56"/>
  <c r="P96" i="56" s="1"/>
  <c r="I97" i="56"/>
  <c r="J97" i="56"/>
  <c r="K97" i="56"/>
  <c r="M97" i="56"/>
  <c r="P97" i="56" s="1"/>
  <c r="I98" i="56"/>
  <c r="J98" i="56"/>
  <c r="K98" i="56" s="1"/>
  <c r="M98" i="56"/>
  <c r="R98" i="56" s="1"/>
  <c r="I99" i="56"/>
  <c r="J99" i="56"/>
  <c r="K99" i="56"/>
  <c r="L99" i="56"/>
  <c r="M99" i="56"/>
  <c r="P99" i="56" s="1"/>
  <c r="I100" i="56"/>
  <c r="J100" i="56"/>
  <c r="K100" i="56"/>
  <c r="L100" i="56"/>
  <c r="M100" i="56"/>
  <c r="I101" i="56"/>
  <c r="J101" i="56"/>
  <c r="K101" i="56"/>
  <c r="L101" i="56"/>
  <c r="M101" i="56"/>
  <c r="P101" i="56" s="1"/>
  <c r="I102" i="56"/>
  <c r="J102" i="56"/>
  <c r="K102" i="56"/>
  <c r="L102" i="56"/>
  <c r="M102" i="56"/>
  <c r="P102" i="56" s="1"/>
  <c r="I103" i="56"/>
  <c r="J103" i="56"/>
  <c r="K103" i="56"/>
  <c r="L103" i="56"/>
  <c r="M103" i="56"/>
  <c r="I104" i="56"/>
  <c r="J104" i="56"/>
  <c r="K104" i="56"/>
  <c r="M104" i="56"/>
  <c r="P104" i="56" s="1"/>
  <c r="I105" i="56"/>
  <c r="J105" i="56"/>
  <c r="K105" i="56"/>
  <c r="L105" i="56"/>
  <c r="M105" i="56"/>
  <c r="P105" i="56" s="1"/>
  <c r="I106" i="56"/>
  <c r="J106" i="56"/>
  <c r="K106" i="56"/>
  <c r="L106" i="56"/>
  <c r="M106" i="56"/>
  <c r="P106" i="56" s="1"/>
  <c r="I107" i="56"/>
  <c r="J107" i="56"/>
  <c r="K107" i="56" s="1"/>
  <c r="M107" i="56"/>
  <c r="P107" i="56" s="1"/>
  <c r="I108" i="56"/>
  <c r="J108" i="56"/>
  <c r="K108" i="56"/>
  <c r="M108" i="56"/>
  <c r="P108" i="56" s="1"/>
  <c r="I109" i="56"/>
  <c r="J109" i="56"/>
  <c r="K109" i="56"/>
  <c r="L109" i="56"/>
  <c r="M109" i="56"/>
  <c r="P109" i="56" s="1"/>
  <c r="I110" i="56"/>
  <c r="J110" i="56"/>
  <c r="K110" i="56"/>
  <c r="L110" i="56"/>
  <c r="M110" i="56"/>
  <c r="I111" i="56"/>
  <c r="J111" i="56"/>
  <c r="K111" i="56" s="1"/>
  <c r="M111" i="56"/>
  <c r="P111" i="56" s="1"/>
  <c r="I112" i="56"/>
  <c r="J112" i="56"/>
  <c r="K112" i="56"/>
  <c r="M112" i="56"/>
  <c r="T112" i="56" s="1"/>
  <c r="I113" i="56"/>
  <c r="J113" i="56"/>
  <c r="K113" i="56"/>
  <c r="M113" i="56"/>
  <c r="P113" i="56" s="1"/>
  <c r="I114" i="56"/>
  <c r="J114" i="56"/>
  <c r="K114" i="56"/>
  <c r="L114" i="56"/>
  <c r="M114" i="56"/>
  <c r="P114" i="56" s="1"/>
  <c r="I116" i="56"/>
  <c r="J116" i="56"/>
  <c r="K116" i="56" s="1"/>
  <c r="M116" i="56"/>
  <c r="P116" i="56" s="1"/>
  <c r="I117" i="56"/>
  <c r="J117" i="56"/>
  <c r="K117" i="56"/>
  <c r="L117" i="56"/>
  <c r="M117" i="56"/>
  <c r="S117" i="56" s="1"/>
  <c r="I118" i="56"/>
  <c r="J118" i="56"/>
  <c r="K118" i="56"/>
  <c r="L118" i="56"/>
  <c r="M118" i="56"/>
  <c r="P118" i="56" s="1"/>
  <c r="M119" i="56"/>
  <c r="P119" i="56" s="1"/>
  <c r="I122" i="56"/>
  <c r="J122" i="56"/>
  <c r="K122" i="56"/>
  <c r="L122" i="56"/>
  <c r="M122" i="56"/>
  <c r="I123" i="56"/>
  <c r="J123" i="56"/>
  <c r="K123" i="56"/>
  <c r="M123" i="56"/>
  <c r="P123" i="56" s="1"/>
  <c r="I124" i="56"/>
  <c r="J124" i="56"/>
  <c r="K124" i="56" s="1"/>
  <c r="M124" i="56"/>
  <c r="R124" i="56" s="1"/>
  <c r="I126" i="56"/>
  <c r="J126" i="56"/>
  <c r="K126" i="56"/>
  <c r="L126" i="56"/>
  <c r="M126" i="56"/>
  <c r="T126" i="56" s="1"/>
  <c r="I127" i="56"/>
  <c r="J127" i="56"/>
  <c r="K127" i="56"/>
  <c r="M127" i="56"/>
  <c r="P127" i="56" s="1"/>
  <c r="I128" i="56"/>
  <c r="J128" i="56"/>
  <c r="K128" i="56"/>
  <c r="L128" i="56"/>
  <c r="M128" i="56"/>
  <c r="S128" i="56" s="1"/>
  <c r="I129" i="56"/>
  <c r="J129" i="56"/>
  <c r="K129" i="56"/>
  <c r="M129" i="56"/>
  <c r="Q129" i="56" s="1"/>
  <c r="I130" i="56"/>
  <c r="J130" i="56"/>
  <c r="K130" i="56"/>
  <c r="L130" i="56"/>
  <c r="M130" i="56"/>
  <c r="I131" i="56"/>
  <c r="J131" i="56"/>
  <c r="K131" i="56"/>
  <c r="M131" i="56"/>
  <c r="S131" i="56" s="1"/>
  <c r="I132" i="56"/>
  <c r="J132" i="56"/>
  <c r="K132" i="56"/>
  <c r="M132" i="56"/>
  <c r="P132" i="56" s="1"/>
  <c r="I133" i="56"/>
  <c r="J133" i="56"/>
  <c r="K133" i="56"/>
  <c r="M133" i="56"/>
  <c r="R133" i="56" s="1"/>
  <c r="I134" i="56"/>
  <c r="J134" i="56"/>
  <c r="K134" i="56"/>
  <c r="M134" i="56"/>
  <c r="P134" i="56" s="1"/>
  <c r="I135" i="56"/>
  <c r="J135" i="56"/>
  <c r="K135" i="56"/>
  <c r="L135" i="56"/>
  <c r="M135" i="56"/>
  <c r="P135" i="56" s="1"/>
  <c r="I136" i="56"/>
  <c r="J136" i="56"/>
  <c r="K136" i="56"/>
  <c r="L136" i="56"/>
  <c r="M136" i="56"/>
  <c r="R136" i="56" s="1"/>
  <c r="I137" i="56"/>
  <c r="J137" i="56"/>
  <c r="K137" i="56"/>
  <c r="M137" i="56"/>
  <c r="P137" i="56" s="1"/>
  <c r="I138" i="56"/>
  <c r="J138" i="56"/>
  <c r="K138" i="56"/>
  <c r="L138" i="56"/>
  <c r="M138" i="56"/>
  <c r="T138" i="56" s="1"/>
  <c r="I139" i="56"/>
  <c r="J139" i="56"/>
  <c r="K139" i="56"/>
  <c r="L139" i="56"/>
  <c r="M139" i="56"/>
  <c r="I140" i="56"/>
  <c r="J140" i="56"/>
  <c r="K140" i="56"/>
  <c r="M140" i="56"/>
  <c r="P140" i="56" s="1"/>
  <c r="I141" i="56"/>
  <c r="J141" i="56"/>
  <c r="K141" i="56"/>
  <c r="M141" i="56"/>
  <c r="S141" i="56" s="1"/>
  <c r="I142" i="56"/>
  <c r="J142" i="56"/>
  <c r="K142" i="56"/>
  <c r="M142" i="56"/>
  <c r="I143" i="56"/>
  <c r="J143" i="56"/>
  <c r="K143" i="56"/>
  <c r="M143" i="56"/>
  <c r="P143" i="56" s="1"/>
  <c r="I144" i="56"/>
  <c r="J144" i="56"/>
  <c r="K144" i="56"/>
  <c r="M144" i="56"/>
  <c r="P144" i="56" s="1"/>
  <c r="I145" i="56"/>
  <c r="J145" i="56"/>
  <c r="K145" i="56"/>
  <c r="M145" i="56"/>
  <c r="T145" i="56" s="1"/>
  <c r="I147" i="56"/>
  <c r="J147" i="56"/>
  <c r="K147" i="56"/>
  <c r="L147" i="56"/>
  <c r="M147" i="56"/>
  <c r="R147" i="56" s="1"/>
  <c r="I148" i="56"/>
  <c r="J148" i="56"/>
  <c r="K148" i="56"/>
  <c r="L148" i="56"/>
  <c r="M148" i="56"/>
  <c r="P148" i="56" s="1"/>
  <c r="I149" i="56"/>
  <c r="J149" i="56"/>
  <c r="K149" i="56"/>
  <c r="L149" i="56"/>
  <c r="M149" i="56"/>
  <c r="Q149" i="56" s="1"/>
  <c r="I150" i="56"/>
  <c r="J150" i="56"/>
  <c r="K150" i="56"/>
  <c r="M150" i="56"/>
  <c r="P150" i="56" s="1"/>
  <c r="I151" i="56"/>
  <c r="J151" i="56"/>
  <c r="K151" i="56"/>
  <c r="M151" i="56"/>
  <c r="P151" i="56" s="1"/>
  <c r="I152" i="56"/>
  <c r="J152" i="56"/>
  <c r="K152" i="56"/>
  <c r="M152" i="56"/>
  <c r="I153" i="56"/>
  <c r="J153" i="56"/>
  <c r="K153" i="56"/>
  <c r="M153" i="56"/>
  <c r="P153" i="56" s="1"/>
  <c r="I154" i="56"/>
  <c r="J154" i="56"/>
  <c r="K154" i="56"/>
  <c r="M154" i="56"/>
  <c r="S154" i="56" s="1"/>
  <c r="I155" i="56"/>
  <c r="J155" i="56"/>
  <c r="K155" i="56"/>
  <c r="M155" i="56"/>
  <c r="I156" i="56"/>
  <c r="J156" i="56"/>
  <c r="K156" i="56"/>
  <c r="M156" i="56"/>
  <c r="P156" i="56" s="1"/>
  <c r="I157" i="56"/>
  <c r="J157" i="56"/>
  <c r="K157" i="56"/>
  <c r="M157" i="56"/>
  <c r="P157" i="56" s="1"/>
  <c r="I158" i="56"/>
  <c r="J158" i="56"/>
  <c r="K158" i="56"/>
  <c r="M158" i="56"/>
  <c r="S158" i="56" s="1"/>
  <c r="I159" i="56"/>
  <c r="J159" i="56"/>
  <c r="K159" i="56"/>
  <c r="M159" i="56"/>
  <c r="R159" i="56" s="1"/>
  <c r="I160" i="56"/>
  <c r="J160" i="56"/>
  <c r="K160" i="56"/>
  <c r="M160" i="56"/>
  <c r="P160" i="56" s="1"/>
  <c r="I161" i="56"/>
  <c r="J161" i="56"/>
  <c r="K161" i="56"/>
  <c r="M161" i="56"/>
  <c r="I162" i="56"/>
  <c r="J162" i="56"/>
  <c r="K162" i="56"/>
  <c r="M162" i="56"/>
  <c r="P162" i="56" s="1"/>
  <c r="I163" i="56"/>
  <c r="J163" i="56"/>
  <c r="K163" i="56"/>
  <c r="M163" i="56"/>
  <c r="P163" i="56" s="1"/>
  <c r="I164" i="56"/>
  <c r="J164" i="56"/>
  <c r="K164" i="56"/>
  <c r="M164" i="56"/>
  <c r="P164" i="56" s="1"/>
  <c r="I165" i="56"/>
  <c r="J165" i="56"/>
  <c r="K165" i="56"/>
  <c r="M165" i="56"/>
  <c r="P165" i="56" s="1"/>
  <c r="I166" i="56"/>
  <c r="J166" i="56"/>
  <c r="K166" i="56"/>
  <c r="M166" i="56"/>
  <c r="S166" i="56" s="1"/>
  <c r="I167" i="56"/>
  <c r="J167" i="56"/>
  <c r="K167" i="56"/>
  <c r="M167" i="56"/>
  <c r="I168" i="56"/>
  <c r="J168" i="56"/>
  <c r="K168" i="56"/>
  <c r="M168" i="56"/>
  <c r="P168" i="56" s="1"/>
  <c r="P169" i="56"/>
  <c r="I171" i="56"/>
  <c r="J171" i="56"/>
  <c r="K171" i="56"/>
  <c r="M171" i="56"/>
  <c r="R171" i="56" s="1"/>
  <c r="I172" i="56"/>
  <c r="J172" i="56"/>
  <c r="K172" i="56"/>
  <c r="M172" i="56"/>
  <c r="P172" i="56" s="1"/>
  <c r="I173" i="56"/>
  <c r="J173" i="56"/>
  <c r="K173" i="56"/>
  <c r="M173" i="56"/>
  <c r="I174" i="56"/>
  <c r="J174" i="56"/>
  <c r="K174" i="56"/>
  <c r="M174" i="56"/>
  <c r="P174" i="56" s="1"/>
  <c r="I175" i="56"/>
  <c r="J175" i="56"/>
  <c r="K175" i="56"/>
  <c r="L175" i="56"/>
  <c r="M175" i="56"/>
  <c r="R175" i="56" s="1"/>
  <c r="I176" i="56"/>
  <c r="J176" i="56"/>
  <c r="K176" i="56"/>
  <c r="L176" i="56"/>
  <c r="M176" i="56"/>
  <c r="Q176" i="56" s="1"/>
  <c r="I177" i="56"/>
  <c r="J177" i="56"/>
  <c r="K177" i="56"/>
  <c r="M177" i="56"/>
  <c r="P177" i="56" s="1"/>
  <c r="I178" i="56"/>
  <c r="J178" i="56"/>
  <c r="K178" i="56"/>
  <c r="M178" i="56"/>
  <c r="R178" i="56" s="1"/>
  <c r="I179" i="56"/>
  <c r="J179" i="56"/>
  <c r="K179" i="56"/>
  <c r="M179" i="56"/>
  <c r="P179" i="56" s="1"/>
  <c r="I10" i="71"/>
  <c r="J10" i="71"/>
  <c r="K10" i="71"/>
  <c r="L10" i="71"/>
  <c r="I11" i="71"/>
  <c r="J11" i="71"/>
  <c r="K11" i="71"/>
  <c r="L11" i="71"/>
  <c r="I30" i="71"/>
  <c r="J30" i="71"/>
  <c r="K30" i="71"/>
  <c r="L30" i="71"/>
  <c r="I31" i="71"/>
  <c r="J31" i="71"/>
  <c r="K31" i="71"/>
  <c r="L31" i="71"/>
  <c r="I32" i="71"/>
  <c r="J32" i="71"/>
  <c r="K32" i="71"/>
  <c r="I33" i="71"/>
  <c r="J33" i="71"/>
  <c r="K33" i="71"/>
  <c r="L33" i="71"/>
  <c r="I34" i="71"/>
  <c r="J34" i="71"/>
  <c r="K34" i="71"/>
  <c r="L34" i="71"/>
  <c r="I35" i="71"/>
  <c r="J35" i="71"/>
  <c r="K35" i="71"/>
  <c r="I36" i="71"/>
  <c r="J36" i="71"/>
  <c r="K36" i="71"/>
  <c r="L36" i="71"/>
  <c r="I37" i="71"/>
  <c r="J37" i="71"/>
  <c r="K37" i="71"/>
  <c r="L37" i="71"/>
  <c r="I38" i="71"/>
  <c r="J38" i="71"/>
  <c r="K38" i="71"/>
  <c r="I39" i="71"/>
  <c r="J39" i="71"/>
  <c r="K39" i="71"/>
  <c r="I40" i="71"/>
  <c r="J40" i="71"/>
  <c r="K40" i="71"/>
  <c r="L40" i="71"/>
  <c r="I41" i="71"/>
  <c r="J41" i="71"/>
  <c r="K41" i="71"/>
  <c r="I42" i="71"/>
  <c r="J42" i="71"/>
  <c r="K42" i="71"/>
  <c r="I43" i="71"/>
  <c r="J43" i="71"/>
  <c r="K43" i="71"/>
  <c r="I44" i="71"/>
  <c r="J44" i="71"/>
  <c r="K44" i="71"/>
  <c r="I45" i="71"/>
  <c r="J45" i="71"/>
  <c r="K45" i="71"/>
  <c r="I46" i="71"/>
  <c r="J46" i="71"/>
  <c r="K46" i="71"/>
  <c r="I47" i="71"/>
  <c r="J47" i="71"/>
  <c r="K47" i="71"/>
  <c r="I48" i="71"/>
  <c r="J48" i="71"/>
  <c r="K48" i="71"/>
  <c r="I49" i="71"/>
  <c r="J49" i="71"/>
  <c r="K49" i="71"/>
  <c r="I50" i="71"/>
  <c r="J50" i="71"/>
  <c r="K50" i="71"/>
  <c r="I51" i="71"/>
  <c r="J51" i="71"/>
  <c r="K51" i="71"/>
  <c r="I52" i="71"/>
  <c r="J52" i="71"/>
  <c r="K52" i="71"/>
  <c r="L52" i="71"/>
  <c r="I53" i="71"/>
  <c r="J53" i="71"/>
  <c r="K53" i="71"/>
  <c r="L53" i="71"/>
  <c r="I54" i="71"/>
  <c r="J54" i="71"/>
  <c r="K54" i="71"/>
  <c r="I55" i="71"/>
  <c r="J55" i="71"/>
  <c r="K55" i="71"/>
  <c r="I56" i="71"/>
  <c r="J56" i="71"/>
  <c r="K56" i="71"/>
  <c r="I57" i="71"/>
  <c r="J57" i="71"/>
  <c r="K57" i="71"/>
  <c r="I58" i="71"/>
  <c r="J58" i="71"/>
  <c r="K58" i="71"/>
  <c r="I59" i="71"/>
  <c r="J59" i="71"/>
  <c r="K59" i="71"/>
  <c r="I60" i="71"/>
  <c r="J60" i="71"/>
  <c r="K60" i="71"/>
  <c r="I61" i="71"/>
  <c r="J61" i="71"/>
  <c r="K61" i="71"/>
  <c r="I62" i="71"/>
  <c r="J62" i="71"/>
  <c r="K62" i="71"/>
  <c r="I63" i="71"/>
  <c r="J63" i="71"/>
  <c r="K63" i="71"/>
  <c r="I64" i="71"/>
  <c r="J64" i="71"/>
  <c r="K64" i="71"/>
  <c r="I65" i="71"/>
  <c r="J65" i="71"/>
  <c r="K65" i="71"/>
  <c r="I66" i="71"/>
  <c r="J66" i="71"/>
  <c r="K66" i="71"/>
  <c r="I69" i="71"/>
  <c r="J69" i="71"/>
  <c r="K69" i="71"/>
  <c r="L69" i="71"/>
  <c r="I70" i="71"/>
  <c r="J70" i="71"/>
  <c r="K70" i="71"/>
  <c r="I71" i="71"/>
  <c r="J71" i="71"/>
  <c r="K71" i="71"/>
  <c r="I72" i="71"/>
  <c r="J72" i="71"/>
  <c r="K72" i="71"/>
  <c r="I73" i="71"/>
  <c r="J73" i="71"/>
  <c r="K73" i="71"/>
  <c r="I74" i="71"/>
  <c r="J74" i="71"/>
  <c r="K74" i="71"/>
  <c r="I75" i="71"/>
  <c r="J75" i="71"/>
  <c r="K75" i="71"/>
  <c r="I76" i="71"/>
  <c r="J76" i="71"/>
  <c r="K76" i="71"/>
  <c r="L76" i="71"/>
  <c r="I77" i="71"/>
  <c r="J77" i="71"/>
  <c r="K77" i="71"/>
  <c r="L77" i="71"/>
  <c r="I78" i="71"/>
  <c r="J78" i="71"/>
  <c r="K78" i="71"/>
  <c r="I79" i="71"/>
  <c r="J79" i="71"/>
  <c r="K79" i="71"/>
  <c r="I80" i="71"/>
  <c r="J80" i="71"/>
  <c r="K80" i="71"/>
  <c r="I81" i="71"/>
  <c r="J81" i="71"/>
  <c r="K81" i="71"/>
  <c r="I82" i="71"/>
  <c r="J82" i="71"/>
  <c r="K82" i="71"/>
  <c r="L82" i="71"/>
  <c r="I83" i="71"/>
  <c r="J83" i="71"/>
  <c r="K83" i="71"/>
  <c r="L83" i="71"/>
  <c r="I84" i="71"/>
  <c r="J84" i="71"/>
  <c r="K84" i="71"/>
  <c r="L84" i="71"/>
  <c r="I85" i="71"/>
  <c r="J85" i="71"/>
  <c r="K85" i="71"/>
  <c r="I86" i="71"/>
  <c r="J86" i="71"/>
  <c r="K86" i="71"/>
  <c r="L86" i="71"/>
  <c r="I87" i="71"/>
  <c r="J87" i="71"/>
  <c r="K87" i="71"/>
  <c r="L87" i="71"/>
  <c r="I88" i="71"/>
  <c r="J88" i="71"/>
  <c r="K88" i="71"/>
  <c r="L88" i="71"/>
  <c r="I89" i="71"/>
  <c r="J89" i="71"/>
  <c r="K89" i="71"/>
  <c r="L89" i="71"/>
  <c r="I90" i="71"/>
  <c r="J90" i="71"/>
  <c r="K90" i="71"/>
  <c r="L90" i="71"/>
  <c r="I91" i="71"/>
  <c r="J91" i="71"/>
  <c r="K91" i="71"/>
  <c r="L91" i="71"/>
  <c r="I92" i="71"/>
  <c r="J92" i="71"/>
  <c r="K92" i="71"/>
  <c r="L92" i="71"/>
  <c r="I93" i="71"/>
  <c r="J93" i="71"/>
  <c r="K93" i="71"/>
  <c r="L93" i="71"/>
  <c r="I94" i="71"/>
  <c r="J94" i="71"/>
  <c r="K94" i="71"/>
  <c r="I95" i="71"/>
  <c r="J95" i="71"/>
  <c r="K95" i="71"/>
  <c r="I96" i="71"/>
  <c r="J96" i="71"/>
  <c r="K96" i="71"/>
  <c r="L96" i="71"/>
  <c r="I97" i="71"/>
  <c r="J97" i="71"/>
  <c r="K97" i="71"/>
  <c r="L97" i="71"/>
  <c r="I98" i="71"/>
  <c r="J98" i="71"/>
  <c r="K98" i="71"/>
  <c r="L98" i="71"/>
  <c r="I99" i="71"/>
  <c r="J99" i="71"/>
  <c r="K99" i="71"/>
  <c r="L99" i="71"/>
  <c r="I100" i="71"/>
  <c r="J100" i="71"/>
  <c r="K100" i="71"/>
  <c r="L100" i="71"/>
  <c r="I101" i="71"/>
  <c r="J101" i="71"/>
  <c r="K101" i="71"/>
  <c r="M10" i="71"/>
  <c r="P10" i="71" s="1"/>
  <c r="M11" i="71"/>
  <c r="M30" i="71"/>
  <c r="M31" i="71"/>
  <c r="M32" i="71"/>
  <c r="M33" i="71"/>
  <c r="M34" i="71"/>
  <c r="M35" i="71"/>
  <c r="M36" i="71"/>
  <c r="M37" i="71"/>
  <c r="M38" i="71"/>
  <c r="M39" i="71"/>
  <c r="M40" i="71"/>
  <c r="M41" i="71"/>
  <c r="M42" i="71"/>
  <c r="M43" i="71"/>
  <c r="M44" i="71"/>
  <c r="M45" i="71"/>
  <c r="M46" i="71"/>
  <c r="M47" i="71"/>
  <c r="M48" i="71"/>
  <c r="M49" i="71"/>
  <c r="M50" i="71"/>
  <c r="M51" i="71"/>
  <c r="M52" i="71"/>
  <c r="M53" i="71"/>
  <c r="M54" i="71"/>
  <c r="M55" i="71"/>
  <c r="M56" i="71"/>
  <c r="M57" i="71"/>
  <c r="M58" i="71"/>
  <c r="M59" i="71"/>
  <c r="M60" i="71"/>
  <c r="M61" i="71"/>
  <c r="M62" i="71"/>
  <c r="M63" i="71"/>
  <c r="M64" i="71"/>
  <c r="M65" i="71"/>
  <c r="M66" i="71"/>
  <c r="M69" i="71"/>
  <c r="M70" i="71"/>
  <c r="M71" i="71"/>
  <c r="M72" i="71"/>
  <c r="M73" i="71"/>
  <c r="M74" i="71"/>
  <c r="M75" i="71"/>
  <c r="M76" i="71"/>
  <c r="M77" i="71"/>
  <c r="M78" i="71"/>
  <c r="M79" i="71"/>
  <c r="M80" i="71"/>
  <c r="M81" i="71"/>
  <c r="M82" i="71"/>
  <c r="M83" i="71"/>
  <c r="M84" i="71"/>
  <c r="M85" i="71"/>
  <c r="M86" i="71"/>
  <c r="M87" i="71"/>
  <c r="M88" i="71"/>
  <c r="M89" i="71"/>
  <c r="M90" i="71"/>
  <c r="M91" i="71"/>
  <c r="M92" i="71"/>
  <c r="M93" i="71"/>
  <c r="M94" i="71"/>
  <c r="M95" i="71"/>
  <c r="M96" i="71"/>
  <c r="M97" i="71"/>
  <c r="M98" i="71"/>
  <c r="M99" i="71"/>
  <c r="M100" i="71"/>
  <c r="M101" i="71"/>
  <c r="M12" i="41"/>
  <c r="M13" i="41"/>
  <c r="P13" i="41" s="1"/>
  <c r="M14" i="41"/>
  <c r="T14" i="41" s="1"/>
  <c r="M15" i="41"/>
  <c r="Q15" i="41" s="1"/>
  <c r="M16" i="41"/>
  <c r="T16" i="41" s="1"/>
  <c r="M17" i="41"/>
  <c r="P17" i="41" s="1"/>
  <c r="M18" i="41"/>
  <c r="S18" i="41" s="1"/>
  <c r="M19" i="41"/>
  <c r="Q19" i="41" s="1"/>
  <c r="M20" i="41"/>
  <c r="P20" i="41" s="1"/>
  <c r="M21" i="41"/>
  <c r="R21" i="41" s="1"/>
  <c r="M22" i="41"/>
  <c r="P22" i="41" s="1"/>
  <c r="M23" i="41"/>
  <c r="T23" i="41" s="1"/>
  <c r="M24" i="41"/>
  <c r="P24" i="41" s="1"/>
  <c r="M25" i="41"/>
  <c r="P25" i="41" s="1"/>
  <c r="M11" i="41"/>
  <c r="A14" i="62"/>
  <c r="A15" i="62"/>
  <c r="A16" i="62"/>
  <c r="A17" i="62"/>
  <c r="A18" i="62"/>
  <c r="A19" i="62"/>
  <c r="A20" i="62"/>
  <c r="A21" i="62"/>
  <c r="A25" i="62"/>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40" i="56"/>
  <c r="A41" i="56"/>
  <c r="A42" i="56"/>
  <c r="A43" i="56"/>
  <c r="A44" i="56"/>
  <c r="A45" i="56"/>
  <c r="A46" i="56"/>
  <c r="A47" i="56"/>
  <c r="A48" i="56"/>
  <c r="A50" i="56"/>
  <c r="A51" i="56"/>
  <c r="A52" i="56"/>
  <c r="A53" i="56"/>
  <c r="A54" i="56"/>
  <c r="A55" i="56"/>
  <c r="A56" i="56"/>
  <c r="A57" i="56"/>
  <c r="A58" i="56"/>
  <c r="A59" i="56"/>
  <c r="A60" i="56"/>
  <c r="A61" i="56"/>
  <c r="A62" i="56"/>
  <c r="A63" i="56"/>
  <c r="A64" i="56"/>
  <c r="A65" i="56"/>
  <c r="A66" i="56"/>
  <c r="A67" i="56"/>
  <c r="A68" i="56"/>
  <c r="A69" i="56"/>
  <c r="A71" i="56"/>
  <c r="A72" i="56"/>
  <c r="A73" i="56"/>
  <c r="A75" i="56"/>
  <c r="A76" i="56"/>
  <c r="A77" i="56"/>
  <c r="A78" i="56"/>
  <c r="A79" i="56"/>
  <c r="A81" i="56"/>
  <c r="A82" i="56"/>
  <c r="A83" i="56"/>
  <c r="A84" i="56"/>
  <c r="A85" i="56"/>
  <c r="A86" i="56"/>
  <c r="A87" i="56"/>
  <c r="A88" i="56"/>
  <c r="A89" i="56"/>
  <c r="A90" i="56"/>
  <c r="A91" i="56"/>
  <c r="A92" i="56"/>
  <c r="A93" i="56"/>
  <c r="A95" i="56"/>
  <c r="A96" i="56"/>
  <c r="A97" i="56"/>
  <c r="A98" i="56"/>
  <c r="A100" i="56"/>
  <c r="A101" i="56"/>
  <c r="A103" i="56"/>
  <c r="A104" i="56"/>
  <c r="A106" i="56"/>
  <c r="A107" i="56"/>
  <c r="A108" i="56"/>
  <c r="A110" i="56"/>
  <c r="A111" i="56"/>
  <c r="A112" i="56"/>
  <c r="A113" i="56"/>
  <c r="A114" i="56"/>
  <c r="A116" i="56"/>
  <c r="A117" i="56"/>
  <c r="A118" i="56"/>
  <c r="A119" i="56"/>
  <c r="A122" i="56"/>
  <c r="A123" i="56"/>
  <c r="A124" i="56"/>
  <c r="A125" i="56"/>
  <c r="A126" i="56"/>
  <c r="A127" i="56"/>
  <c r="A128" i="56"/>
  <c r="A129" i="56"/>
  <c r="A130" i="56"/>
  <c r="A131" i="56"/>
  <c r="A132" i="56"/>
  <c r="A133" i="56"/>
  <c r="A134" i="56"/>
  <c r="A135" i="56"/>
  <c r="A136" i="56"/>
  <c r="A137" i="56"/>
  <c r="A138" i="56"/>
  <c r="A139" i="56"/>
  <c r="A140" i="56"/>
  <c r="A141" i="56"/>
  <c r="A142" i="56"/>
  <c r="A143" i="56"/>
  <c r="A144" i="56"/>
  <c r="A145" i="56"/>
  <c r="A147" i="56"/>
  <c r="A148" i="56"/>
  <c r="A149" i="56"/>
  <c r="A150" i="56"/>
  <c r="A151" i="56"/>
  <c r="A152" i="56"/>
  <c r="A153" i="56"/>
  <c r="A154" i="56"/>
  <c r="A155" i="56"/>
  <c r="A156" i="56"/>
  <c r="A157" i="56"/>
  <c r="A158" i="56"/>
  <c r="A159" i="56"/>
  <c r="A160" i="56"/>
  <c r="A161" i="56"/>
  <c r="A162" i="56"/>
  <c r="A163" i="56"/>
  <c r="A164" i="56"/>
  <c r="A165" i="56"/>
  <c r="A166" i="56"/>
  <c r="A167" i="56"/>
  <c r="A168" i="56"/>
  <c r="A169" i="56"/>
  <c r="A170" i="56"/>
  <c r="A171" i="56"/>
  <c r="A172" i="56"/>
  <c r="A173" i="56"/>
  <c r="A174" i="56"/>
  <c r="A175" i="56"/>
  <c r="A176" i="56"/>
  <c r="A177" i="56"/>
  <c r="A178" i="56"/>
  <c r="A179" i="56"/>
  <c r="A10" i="71"/>
  <c r="A11" i="71"/>
  <c r="A28" i="71"/>
  <c r="A29" i="71"/>
  <c r="A30" i="71"/>
  <c r="A31" i="71"/>
  <c r="A32" i="71"/>
  <c r="A33" i="71"/>
  <c r="A34" i="71"/>
  <c r="A35" i="71"/>
  <c r="A36" i="71"/>
  <c r="A37" i="71"/>
  <c r="A38" i="71"/>
  <c r="A39" i="71"/>
  <c r="A40" i="71"/>
  <c r="A41" i="71"/>
  <c r="A42" i="71"/>
  <c r="A43" i="71"/>
  <c r="A44" i="71"/>
  <c r="A45" i="71"/>
  <c r="A46" i="71"/>
  <c r="A47" i="71"/>
  <c r="A48" i="71"/>
  <c r="A49" i="71"/>
  <c r="A50" i="71"/>
  <c r="A51" i="71"/>
  <c r="A52" i="71"/>
  <c r="R18" i="41" l="1"/>
  <c r="Q14" i="41"/>
  <c r="T13" i="41"/>
  <c r="S25" i="41"/>
  <c r="R25" i="41"/>
  <c r="T20" i="41"/>
  <c r="S20" i="41"/>
  <c r="L48" i="56"/>
  <c r="L42" i="56"/>
  <c r="P64" i="71"/>
  <c r="Q64" i="71"/>
  <c r="R64" i="71"/>
  <c r="S64" i="71"/>
  <c r="T64" i="71"/>
  <c r="P53" i="71"/>
  <c r="R53" i="71"/>
  <c r="Q53" i="71"/>
  <c r="S53" i="71"/>
  <c r="T53" i="71"/>
  <c r="P47" i="71"/>
  <c r="Q47" i="71"/>
  <c r="R47" i="71"/>
  <c r="S47" i="71"/>
  <c r="T47" i="71"/>
  <c r="P35" i="71"/>
  <c r="R35" i="71"/>
  <c r="Q35" i="71"/>
  <c r="S35" i="71"/>
  <c r="T35" i="71"/>
  <c r="Q101" i="71"/>
  <c r="P101" i="71"/>
  <c r="T101" i="71"/>
  <c r="R101" i="71"/>
  <c r="S101" i="71"/>
  <c r="P89" i="71"/>
  <c r="Q89" i="71"/>
  <c r="R89" i="71"/>
  <c r="S89" i="71"/>
  <c r="T89" i="71"/>
  <c r="P77" i="71"/>
  <c r="Q77" i="71"/>
  <c r="T77" i="71"/>
  <c r="R77" i="71"/>
  <c r="S77" i="71"/>
  <c r="Q63" i="71"/>
  <c r="R63" i="71"/>
  <c r="S63" i="71"/>
  <c r="T63" i="71"/>
  <c r="P63" i="71"/>
  <c r="Q52" i="71"/>
  <c r="R52" i="71"/>
  <c r="T52" i="71"/>
  <c r="S52" i="71"/>
  <c r="P52" i="71"/>
  <c r="Q46" i="71"/>
  <c r="T46" i="71"/>
  <c r="R46" i="71"/>
  <c r="S46" i="71"/>
  <c r="P46" i="71"/>
  <c r="Q34" i="71"/>
  <c r="R34" i="71"/>
  <c r="S34" i="71"/>
  <c r="T34" i="71"/>
  <c r="P34" i="71"/>
  <c r="S99" i="71"/>
  <c r="T99" i="71"/>
  <c r="Q99" i="71"/>
  <c r="P99" i="71"/>
  <c r="R99" i="71"/>
  <c r="P32" i="71"/>
  <c r="R32" i="71"/>
  <c r="Q32" i="71"/>
  <c r="S32" i="71"/>
  <c r="T32" i="71"/>
  <c r="P62" i="71"/>
  <c r="Q62" i="71"/>
  <c r="R62" i="71"/>
  <c r="S62" i="71"/>
  <c r="T62" i="71"/>
  <c r="S87" i="71"/>
  <c r="T87" i="71"/>
  <c r="P87" i="71"/>
  <c r="R87" i="71"/>
  <c r="Q87" i="71"/>
  <c r="P86" i="71"/>
  <c r="Q86" i="71"/>
  <c r="S86" i="71"/>
  <c r="R86" i="71"/>
  <c r="T86" i="71"/>
  <c r="Q97" i="71"/>
  <c r="R97" i="71"/>
  <c r="T97" i="71"/>
  <c r="S97" i="71"/>
  <c r="P97" i="71"/>
  <c r="Q85" i="71"/>
  <c r="R85" i="71"/>
  <c r="T85" i="71"/>
  <c r="S85" i="71"/>
  <c r="P85" i="71"/>
  <c r="Q73" i="71"/>
  <c r="R73" i="71"/>
  <c r="T73" i="71"/>
  <c r="S73" i="71"/>
  <c r="P73" i="71"/>
  <c r="P59" i="71"/>
  <c r="Q59" i="71"/>
  <c r="R59" i="71"/>
  <c r="S59" i="71"/>
  <c r="T59" i="71"/>
  <c r="P42" i="71"/>
  <c r="Q42" i="71"/>
  <c r="R42" i="71"/>
  <c r="S42" i="71"/>
  <c r="T42" i="71"/>
  <c r="P30" i="71"/>
  <c r="Q30" i="71"/>
  <c r="S30" i="71"/>
  <c r="R30" i="71"/>
  <c r="T30" i="71"/>
  <c r="T31" i="71"/>
  <c r="P31" i="71"/>
  <c r="Q31" i="71"/>
  <c r="R31" i="71"/>
  <c r="S31" i="71"/>
  <c r="P96" i="71"/>
  <c r="Q96" i="71"/>
  <c r="R96" i="71"/>
  <c r="S96" i="71"/>
  <c r="T96" i="71"/>
  <c r="Q72" i="71"/>
  <c r="R72" i="71"/>
  <c r="P72" i="71"/>
  <c r="S72" i="71"/>
  <c r="T72" i="71"/>
  <c r="R58" i="71"/>
  <c r="S58" i="71"/>
  <c r="T58" i="71"/>
  <c r="Q58" i="71"/>
  <c r="P58" i="71"/>
  <c r="R41" i="71"/>
  <c r="S41" i="71"/>
  <c r="T41" i="71"/>
  <c r="Q41" i="71"/>
  <c r="P41" i="71"/>
  <c r="P11" i="71"/>
  <c r="Q11" i="71"/>
  <c r="R11" i="71"/>
  <c r="S11" i="71"/>
  <c r="T11" i="71"/>
  <c r="P90" i="71"/>
  <c r="Q90" i="71"/>
  <c r="R90" i="71"/>
  <c r="T90" i="71"/>
  <c r="S90" i="71"/>
  <c r="P45" i="71"/>
  <c r="Q45" i="71"/>
  <c r="R45" i="71"/>
  <c r="S45" i="71"/>
  <c r="T45" i="71"/>
  <c r="R61" i="71"/>
  <c r="P61" i="71"/>
  <c r="Q61" i="71"/>
  <c r="S61" i="71"/>
  <c r="T61" i="71"/>
  <c r="T60" i="71"/>
  <c r="P60" i="71"/>
  <c r="S60" i="71"/>
  <c r="Q60" i="71"/>
  <c r="R60" i="71"/>
  <c r="P84" i="71"/>
  <c r="Q84" i="71"/>
  <c r="R84" i="71"/>
  <c r="S84" i="71"/>
  <c r="T84" i="71"/>
  <c r="P95" i="71"/>
  <c r="Q95" i="71"/>
  <c r="S95" i="71"/>
  <c r="T95" i="71"/>
  <c r="R95" i="71"/>
  <c r="R83" i="71"/>
  <c r="P83" i="71"/>
  <c r="Q83" i="71"/>
  <c r="S83" i="71"/>
  <c r="T83" i="71"/>
  <c r="P71" i="71"/>
  <c r="Q71" i="71"/>
  <c r="R71" i="71"/>
  <c r="S71" i="71"/>
  <c r="T71" i="71"/>
  <c r="Q57" i="71"/>
  <c r="P57" i="71"/>
  <c r="R57" i="71"/>
  <c r="S57" i="71"/>
  <c r="T57" i="71"/>
  <c r="Q40" i="71"/>
  <c r="P40" i="71"/>
  <c r="R40" i="71"/>
  <c r="S40" i="71"/>
  <c r="T40" i="71"/>
  <c r="P78" i="71"/>
  <c r="Q78" i="71"/>
  <c r="S78" i="71"/>
  <c r="R78" i="71"/>
  <c r="T78" i="71"/>
  <c r="Q76" i="71"/>
  <c r="P76" i="71"/>
  <c r="R76" i="71"/>
  <c r="S76" i="71"/>
  <c r="T76" i="71"/>
  <c r="P44" i="71"/>
  <c r="R44" i="71"/>
  <c r="Q44" i="71"/>
  <c r="S44" i="71"/>
  <c r="T44" i="71"/>
  <c r="T94" i="71"/>
  <c r="P94" i="71"/>
  <c r="S94" i="71"/>
  <c r="Q94" i="71"/>
  <c r="R94" i="71"/>
  <c r="T82" i="71"/>
  <c r="P82" i="71"/>
  <c r="Q82" i="71"/>
  <c r="S82" i="71"/>
  <c r="R82" i="71"/>
  <c r="T70" i="71"/>
  <c r="P70" i="71"/>
  <c r="S70" i="71"/>
  <c r="Q70" i="71"/>
  <c r="R70" i="71"/>
  <c r="P56" i="71"/>
  <c r="Q56" i="71"/>
  <c r="R56" i="71"/>
  <c r="S56" i="71"/>
  <c r="T56" i="71"/>
  <c r="P51" i="71"/>
  <c r="Q51" i="71"/>
  <c r="S51" i="71"/>
  <c r="R51" i="71"/>
  <c r="T51" i="71"/>
  <c r="P39" i="71"/>
  <c r="S39" i="71"/>
  <c r="Q39" i="71"/>
  <c r="R39" i="71"/>
  <c r="T39" i="71"/>
  <c r="T88" i="71"/>
  <c r="P88" i="71"/>
  <c r="Q88" i="71"/>
  <c r="R88" i="71"/>
  <c r="S88" i="71"/>
  <c r="R98" i="71"/>
  <c r="P98" i="71"/>
  <c r="Q98" i="71"/>
  <c r="S98" i="71"/>
  <c r="T98" i="71"/>
  <c r="Q93" i="71"/>
  <c r="S93" i="71"/>
  <c r="R93" i="71"/>
  <c r="T93" i="71"/>
  <c r="P93" i="71"/>
  <c r="P69" i="71"/>
  <c r="Q69" i="71"/>
  <c r="R69" i="71"/>
  <c r="S69" i="71"/>
  <c r="T69" i="71"/>
  <c r="P55" i="71"/>
  <c r="Q55" i="71"/>
  <c r="R55" i="71"/>
  <c r="S55" i="71"/>
  <c r="T55" i="71"/>
  <c r="P50" i="71"/>
  <c r="Q50" i="71"/>
  <c r="R50" i="71"/>
  <c r="S50" i="71"/>
  <c r="T50" i="71"/>
  <c r="P38" i="71"/>
  <c r="Q38" i="71"/>
  <c r="T38" i="71"/>
  <c r="R38" i="71"/>
  <c r="S38" i="71"/>
  <c r="P33" i="71"/>
  <c r="Q33" i="71"/>
  <c r="R33" i="71"/>
  <c r="S33" i="71"/>
  <c r="T33" i="71"/>
  <c r="S75" i="71"/>
  <c r="T75" i="71"/>
  <c r="P75" i="71"/>
  <c r="R75" i="71"/>
  <c r="Q75" i="71"/>
  <c r="T43" i="71"/>
  <c r="P43" i="71"/>
  <c r="Q43" i="71"/>
  <c r="R43" i="71"/>
  <c r="S43" i="71"/>
  <c r="P81" i="71"/>
  <c r="Q81" i="71"/>
  <c r="R81" i="71"/>
  <c r="S81" i="71"/>
  <c r="T81" i="71"/>
  <c r="R92" i="71"/>
  <c r="S92" i="71"/>
  <c r="T92" i="71"/>
  <c r="Q92" i="71"/>
  <c r="P92" i="71"/>
  <c r="R80" i="71"/>
  <c r="S80" i="71"/>
  <c r="T80" i="71"/>
  <c r="P80" i="71"/>
  <c r="Q80" i="71"/>
  <c r="Q66" i="71"/>
  <c r="P66" i="71"/>
  <c r="R66" i="71"/>
  <c r="T66" i="71"/>
  <c r="S66" i="71"/>
  <c r="Q54" i="71"/>
  <c r="P54" i="71"/>
  <c r="R54" i="71"/>
  <c r="S54" i="71"/>
  <c r="T54" i="71"/>
  <c r="P49" i="71"/>
  <c r="Q49" i="71"/>
  <c r="R49" i="71"/>
  <c r="T49" i="71"/>
  <c r="S49" i="71"/>
  <c r="Q37" i="71"/>
  <c r="P37" i="71"/>
  <c r="R37" i="71"/>
  <c r="S37" i="71"/>
  <c r="T37" i="71"/>
  <c r="P74" i="71"/>
  <c r="Q74" i="71"/>
  <c r="S74" i="71"/>
  <c r="T74" i="71"/>
  <c r="R74" i="71"/>
  <c r="Q91" i="71"/>
  <c r="P91" i="71"/>
  <c r="R91" i="71"/>
  <c r="S91" i="71"/>
  <c r="T91" i="71"/>
  <c r="Q79" i="71"/>
  <c r="P79" i="71"/>
  <c r="R79" i="71"/>
  <c r="S79" i="71"/>
  <c r="T79" i="71"/>
  <c r="S65" i="71"/>
  <c r="T65" i="71"/>
  <c r="P65" i="71"/>
  <c r="Q65" i="71"/>
  <c r="R65" i="71"/>
  <c r="S48" i="71"/>
  <c r="T48" i="71"/>
  <c r="R48" i="71"/>
  <c r="P48" i="71"/>
  <c r="Q48" i="71"/>
  <c r="S36" i="71"/>
  <c r="T36" i="71"/>
  <c r="P36" i="71"/>
  <c r="R36" i="71"/>
  <c r="Q36" i="71"/>
  <c r="Q100" i="71"/>
  <c r="P100" i="71"/>
  <c r="R100" i="71"/>
  <c r="T100" i="71"/>
  <c r="S100" i="71"/>
  <c r="L73" i="56"/>
  <c r="L98" i="56"/>
  <c r="L14" i="56"/>
  <c r="L91" i="56"/>
  <c r="L18" i="56"/>
  <c r="S22" i="56"/>
  <c r="L144" i="56"/>
  <c r="L141" i="56"/>
  <c r="L132" i="56"/>
  <c r="L124" i="56"/>
  <c r="R163" i="56"/>
  <c r="L69" i="56"/>
  <c r="Q138" i="56"/>
  <c r="P126" i="56"/>
  <c r="S69" i="56"/>
  <c r="R69" i="56"/>
  <c r="L68" i="56"/>
  <c r="L63" i="56"/>
  <c r="S67" i="56"/>
  <c r="Q56" i="56"/>
  <c r="L65" i="56"/>
  <c r="L62" i="56"/>
  <c r="S47" i="56"/>
  <c r="S112" i="56"/>
  <c r="P56" i="56"/>
  <c r="L177" i="56"/>
  <c r="Q124" i="56"/>
  <c r="R114" i="56"/>
  <c r="L87" i="56"/>
  <c r="L51" i="56"/>
  <c r="S163" i="56"/>
  <c r="Q112" i="56"/>
  <c r="Q55" i="56"/>
  <c r="Q159" i="56"/>
  <c r="Q91" i="56"/>
  <c r="R47" i="56"/>
  <c r="L52" i="56"/>
  <c r="L38" i="56"/>
  <c r="L178" i="56"/>
  <c r="L113" i="56"/>
  <c r="L78" i="56"/>
  <c r="L26" i="56"/>
  <c r="R151" i="56"/>
  <c r="P91" i="56"/>
  <c r="T36" i="56"/>
  <c r="Q98" i="56"/>
  <c r="L116" i="56"/>
  <c r="L60" i="56"/>
  <c r="L57" i="56"/>
  <c r="S149" i="56"/>
  <c r="Q79" i="56"/>
  <c r="P35" i="56"/>
  <c r="L166" i="56"/>
  <c r="P79" i="56"/>
  <c r="P25" i="56"/>
  <c r="L157" i="56"/>
  <c r="S138" i="56"/>
  <c r="Q77" i="56"/>
  <c r="P23" i="56"/>
  <c r="L154" i="56"/>
  <c r="L97" i="56"/>
  <c r="T177" i="56"/>
  <c r="T158" i="56"/>
  <c r="Q147" i="56"/>
  <c r="Q136" i="56"/>
  <c r="S123" i="56"/>
  <c r="P112" i="56"/>
  <c r="T97" i="56"/>
  <c r="T86" i="56"/>
  <c r="T76" i="56"/>
  <c r="Q67" i="56"/>
  <c r="T54" i="56"/>
  <c r="Q45" i="56"/>
  <c r="R34" i="56"/>
  <c r="R22" i="56"/>
  <c r="Q15" i="56"/>
  <c r="P178" i="56"/>
  <c r="P138" i="56"/>
  <c r="S45" i="56"/>
  <c r="S34" i="56"/>
  <c r="L127" i="56"/>
  <c r="L107" i="56"/>
  <c r="L89" i="56"/>
  <c r="P176" i="56"/>
  <c r="T143" i="56"/>
  <c r="T135" i="56"/>
  <c r="T119" i="56"/>
  <c r="T109" i="56"/>
  <c r="S97" i="56"/>
  <c r="R86" i="56"/>
  <c r="S76" i="56"/>
  <c r="P67" i="56"/>
  <c r="S54" i="56"/>
  <c r="P45" i="56"/>
  <c r="S32" i="56"/>
  <c r="S20" i="56"/>
  <c r="Q89" i="56"/>
  <c r="Q171" i="56"/>
  <c r="T156" i="56"/>
  <c r="R143" i="56"/>
  <c r="S135" i="56"/>
  <c r="R119" i="56"/>
  <c r="S109" i="56"/>
  <c r="T95" i="56"/>
  <c r="Q86" i="56"/>
  <c r="T74" i="56"/>
  <c r="T65" i="56"/>
  <c r="T52" i="56"/>
  <c r="Q42" i="56"/>
  <c r="Q32" i="56"/>
  <c r="Q20" i="56"/>
  <c r="L92" i="56"/>
  <c r="T123" i="56"/>
  <c r="L112" i="56"/>
  <c r="T168" i="56"/>
  <c r="R156" i="56"/>
  <c r="Q143" i="56"/>
  <c r="R131" i="56"/>
  <c r="Q119" i="56"/>
  <c r="T107" i="56"/>
  <c r="R84" i="56"/>
  <c r="R74" i="56"/>
  <c r="S65" i="56"/>
  <c r="R52" i="56"/>
  <c r="T41" i="56"/>
  <c r="P32" i="56"/>
  <c r="P20" i="56"/>
  <c r="S102" i="56"/>
  <c r="R102" i="56"/>
  <c r="L66" i="56"/>
  <c r="L171" i="56"/>
  <c r="L162" i="56"/>
  <c r="L150" i="56"/>
  <c r="L129" i="56"/>
  <c r="R168" i="56"/>
  <c r="Q156" i="56"/>
  <c r="R141" i="56"/>
  <c r="P131" i="56"/>
  <c r="R117" i="56"/>
  <c r="R107" i="56"/>
  <c r="P84" i="56"/>
  <c r="Q74" i="56"/>
  <c r="T60" i="56"/>
  <c r="Q52" i="56"/>
  <c r="S41" i="56"/>
  <c r="Q30" i="56"/>
  <c r="Q18" i="56"/>
  <c r="L174" i="56"/>
  <c r="L159" i="56"/>
  <c r="Q168" i="56"/>
  <c r="R154" i="56"/>
  <c r="P141" i="56"/>
  <c r="P129" i="56"/>
  <c r="P117" i="56"/>
  <c r="Q107" i="56"/>
  <c r="P82" i="56"/>
  <c r="R72" i="56"/>
  <c r="P59" i="56"/>
  <c r="R50" i="56"/>
  <c r="T39" i="56"/>
  <c r="T17" i="56"/>
  <c r="R166" i="56"/>
  <c r="P154" i="56"/>
  <c r="T140" i="56"/>
  <c r="R105" i="56"/>
  <c r="T93" i="56"/>
  <c r="S81" i="56"/>
  <c r="P72" i="56"/>
  <c r="S58" i="56"/>
  <c r="P50" i="56"/>
  <c r="R39" i="56"/>
  <c r="S17" i="56"/>
  <c r="L134" i="56"/>
  <c r="L131" i="56"/>
  <c r="L108" i="56"/>
  <c r="L67" i="56"/>
  <c r="P166" i="56"/>
  <c r="T153" i="56"/>
  <c r="S126" i="56"/>
  <c r="R81" i="56"/>
  <c r="T71" i="56"/>
  <c r="R58" i="56"/>
  <c r="T49" i="56"/>
  <c r="Q39" i="56"/>
  <c r="T15" i="56"/>
  <c r="L84" i="56"/>
  <c r="L46" i="56"/>
  <c r="T165" i="56"/>
  <c r="S151" i="56"/>
  <c r="Q126" i="56"/>
  <c r="S114" i="56"/>
  <c r="T104" i="56"/>
  <c r="S91" i="56"/>
  <c r="S79" i="56"/>
  <c r="P70" i="56"/>
  <c r="S56" i="56"/>
  <c r="P48" i="56"/>
  <c r="R25" i="56"/>
  <c r="R15" i="56"/>
  <c r="P18" i="41"/>
  <c r="T17" i="41"/>
  <c r="S17" i="41"/>
  <c r="Q25" i="41"/>
  <c r="S13" i="41"/>
  <c r="S23" i="41"/>
  <c r="Q23" i="41"/>
  <c r="P23" i="41"/>
  <c r="Q21" i="41"/>
  <c r="P15" i="41"/>
  <c r="T25" i="41"/>
  <c r="R23" i="41"/>
  <c r="P21" i="41"/>
  <c r="Q18" i="41"/>
  <c r="S14" i="41"/>
  <c r="S22" i="41"/>
  <c r="Q20" i="41"/>
  <c r="R17" i="41"/>
  <c r="R13" i="41"/>
  <c r="R20" i="41"/>
  <c r="T24" i="41"/>
  <c r="R22" i="41"/>
  <c r="Q17" i="41"/>
  <c r="Q13" i="41"/>
  <c r="S24" i="41"/>
  <c r="Q22" i="41"/>
  <c r="S19" i="41"/>
  <c r="T22" i="41"/>
  <c r="R24" i="41"/>
  <c r="R19" i="41"/>
  <c r="T15" i="41"/>
  <c r="Q24" i="41"/>
  <c r="T21" i="41"/>
  <c r="P19" i="41"/>
  <c r="S15" i="41"/>
  <c r="S21" i="41"/>
  <c r="T18" i="41"/>
  <c r="R15" i="41"/>
  <c r="P75" i="56"/>
  <c r="Q75" i="56"/>
  <c r="R75" i="56"/>
  <c r="S75" i="56"/>
  <c r="T75" i="56"/>
  <c r="S88" i="56"/>
  <c r="P88" i="56"/>
  <c r="Q88" i="56"/>
  <c r="R88" i="56"/>
  <c r="P85" i="56"/>
  <c r="Q85" i="56"/>
  <c r="R85" i="56"/>
  <c r="S85" i="56"/>
  <c r="T85" i="56"/>
  <c r="P80" i="56"/>
  <c r="Q80" i="56"/>
  <c r="R80" i="56"/>
  <c r="S80" i="56"/>
  <c r="T80" i="56"/>
  <c r="Q103" i="56"/>
  <c r="R103" i="56"/>
  <c r="S103" i="56"/>
  <c r="T103" i="56"/>
  <c r="S175" i="56"/>
  <c r="P103" i="56"/>
  <c r="P63" i="56"/>
  <c r="Q63" i="56"/>
  <c r="S63" i="56"/>
  <c r="T63" i="56"/>
  <c r="T173" i="56"/>
  <c r="R173" i="56"/>
  <c r="P167" i="56"/>
  <c r="Q167" i="56"/>
  <c r="R167" i="56"/>
  <c r="S167" i="56"/>
  <c r="T167" i="56"/>
  <c r="T161" i="56"/>
  <c r="R161" i="56"/>
  <c r="P158" i="56"/>
  <c r="Q158" i="56"/>
  <c r="R158" i="56"/>
  <c r="P155" i="56"/>
  <c r="Q155" i="56"/>
  <c r="R155" i="56"/>
  <c r="S155" i="56"/>
  <c r="T155" i="56"/>
  <c r="Q152" i="56"/>
  <c r="R152" i="56"/>
  <c r="S152" i="56"/>
  <c r="T152" i="56"/>
  <c r="T149" i="56"/>
  <c r="P149" i="56"/>
  <c r="R149" i="56"/>
  <c r="R128" i="56"/>
  <c r="P128" i="56"/>
  <c r="Q128" i="56"/>
  <c r="T128" i="56"/>
  <c r="L111" i="56"/>
  <c r="S173" i="56"/>
  <c r="R63" i="56"/>
  <c r="Q164" i="56"/>
  <c r="R164" i="56"/>
  <c r="S164" i="56"/>
  <c r="T164" i="56"/>
  <c r="R110" i="56"/>
  <c r="S110" i="56"/>
  <c r="T110" i="56"/>
  <c r="P110" i="56"/>
  <c r="S105" i="56"/>
  <c r="T105" i="56"/>
  <c r="Q105" i="56"/>
  <c r="T100" i="56"/>
  <c r="P100" i="56"/>
  <c r="R100" i="56"/>
  <c r="Q95" i="56"/>
  <c r="P95" i="56"/>
  <c r="S95" i="56"/>
  <c r="P19" i="56"/>
  <c r="Q19" i="56"/>
  <c r="R19" i="56"/>
  <c r="S19" i="56"/>
  <c r="T19" i="56"/>
  <c r="P16" i="56"/>
  <c r="Q16" i="56"/>
  <c r="R16" i="56"/>
  <c r="S16" i="56"/>
  <c r="T16" i="56"/>
  <c r="S13" i="56"/>
  <c r="T13" i="56"/>
  <c r="Q13" i="56"/>
  <c r="R13" i="56"/>
  <c r="Q173" i="56"/>
  <c r="T133" i="56"/>
  <c r="Q110" i="56"/>
  <c r="S100" i="56"/>
  <c r="R61" i="56"/>
  <c r="P78" i="56"/>
  <c r="Q78" i="56"/>
  <c r="R78" i="56"/>
  <c r="S78" i="56"/>
  <c r="T78" i="56"/>
  <c r="P170" i="56"/>
  <c r="Q170" i="56"/>
  <c r="R170" i="56"/>
  <c r="S178" i="56"/>
  <c r="T178" i="56"/>
  <c r="Q178" i="56"/>
  <c r="L140" i="56"/>
  <c r="P125" i="56"/>
  <c r="Q125" i="56"/>
  <c r="R125" i="56"/>
  <c r="S125" i="56"/>
  <c r="T125" i="56"/>
  <c r="P173" i="56"/>
  <c r="Q100" i="56"/>
  <c r="P145" i="56"/>
  <c r="Q145" i="56"/>
  <c r="R145" i="56"/>
  <c r="S145" i="56"/>
  <c r="Q139" i="56"/>
  <c r="R139" i="56"/>
  <c r="S139" i="56"/>
  <c r="T139" i="56"/>
  <c r="Q133" i="56"/>
  <c r="P133" i="56"/>
  <c r="S133" i="56"/>
  <c r="P130" i="56"/>
  <c r="Q130" i="56"/>
  <c r="T130" i="56"/>
  <c r="R130" i="56"/>
  <c r="S130" i="56"/>
  <c r="P122" i="56"/>
  <c r="Q122" i="56"/>
  <c r="R122" i="56"/>
  <c r="S122" i="56"/>
  <c r="T122" i="56"/>
  <c r="Q116" i="56"/>
  <c r="R116" i="56"/>
  <c r="S116" i="56"/>
  <c r="T116" i="56"/>
  <c r="S61" i="56"/>
  <c r="T61" i="56"/>
  <c r="Q61" i="56"/>
  <c r="P46" i="56"/>
  <c r="Q46" i="56"/>
  <c r="R46" i="56"/>
  <c r="S46" i="56"/>
  <c r="T46" i="56"/>
  <c r="S161" i="56"/>
  <c r="P152" i="56"/>
  <c r="T83" i="56"/>
  <c r="P83" i="56"/>
  <c r="Q83" i="56"/>
  <c r="R83" i="56"/>
  <c r="S83" i="56"/>
  <c r="P175" i="56"/>
  <c r="Q175" i="56"/>
  <c r="T175" i="56"/>
  <c r="L64" i="56"/>
  <c r="Q27" i="56"/>
  <c r="P27" i="56"/>
  <c r="S27" i="56"/>
  <c r="T27" i="56"/>
  <c r="T24" i="56"/>
  <c r="P24" i="56"/>
  <c r="Q24" i="56"/>
  <c r="R24" i="56"/>
  <c r="S24" i="56"/>
  <c r="P21" i="56"/>
  <c r="Q21" i="56"/>
  <c r="R21" i="56"/>
  <c r="S21" i="56"/>
  <c r="T21" i="56"/>
  <c r="T170" i="56"/>
  <c r="Q161" i="56"/>
  <c r="P139" i="56"/>
  <c r="L86" i="56"/>
  <c r="P142" i="56"/>
  <c r="Q142" i="56"/>
  <c r="R142" i="56"/>
  <c r="S142" i="56"/>
  <c r="T142" i="56"/>
  <c r="S37" i="56"/>
  <c r="T37" i="56"/>
  <c r="Q37" i="56"/>
  <c r="R37" i="56"/>
  <c r="S170" i="56"/>
  <c r="P161" i="56"/>
  <c r="T88" i="56"/>
  <c r="L173" i="56"/>
  <c r="L167" i="56"/>
  <c r="L164" i="56"/>
  <c r="L161" i="56"/>
  <c r="L155" i="56"/>
  <c r="L152" i="56"/>
  <c r="L19" i="56"/>
  <c r="L16" i="56"/>
  <c r="P171" i="56"/>
  <c r="S168" i="56"/>
  <c r="Q166" i="56"/>
  <c r="T163" i="56"/>
  <c r="P159" i="56"/>
  <c r="S156" i="56"/>
  <c r="Q154" i="56"/>
  <c r="T151" i="56"/>
  <c r="P147" i="56"/>
  <c r="S143" i="56"/>
  <c r="Q141" i="56"/>
  <c r="R138" i="56"/>
  <c r="P136" i="56"/>
  <c r="Q131" i="56"/>
  <c r="R126" i="56"/>
  <c r="P124" i="56"/>
  <c r="S119" i="56"/>
  <c r="Q117" i="56"/>
  <c r="T114" i="56"/>
  <c r="R112" i="56"/>
  <c r="S107" i="56"/>
  <c r="T102" i="56"/>
  <c r="P98" i="56"/>
  <c r="R91" i="56"/>
  <c r="P89" i="56"/>
  <c r="S86" i="56"/>
  <c r="Q84" i="56"/>
  <c r="T81" i="56"/>
  <c r="R79" i="56"/>
  <c r="P77" i="56"/>
  <c r="S74" i="56"/>
  <c r="Q72" i="56"/>
  <c r="T69" i="56"/>
  <c r="R67" i="56"/>
  <c r="T58" i="56"/>
  <c r="R56" i="56"/>
  <c r="P55" i="56"/>
  <c r="S52" i="56"/>
  <c r="Q50" i="56"/>
  <c r="T47" i="56"/>
  <c r="R45" i="56"/>
  <c r="P42" i="56"/>
  <c r="S39" i="56"/>
  <c r="T34" i="56"/>
  <c r="R32" i="56"/>
  <c r="P30" i="56"/>
  <c r="Q25" i="56"/>
  <c r="T22" i="56"/>
  <c r="R20" i="56"/>
  <c r="P18" i="56"/>
  <c r="S15" i="56"/>
  <c r="L142" i="56"/>
  <c r="L43" i="56"/>
  <c r="L32" i="56"/>
  <c r="S177" i="56"/>
  <c r="T172" i="56"/>
  <c r="S165" i="56"/>
  <c r="Q163" i="56"/>
  <c r="T160" i="56"/>
  <c r="S153" i="56"/>
  <c r="Q151" i="56"/>
  <c r="T148" i="56"/>
  <c r="S140" i="56"/>
  <c r="T137" i="56"/>
  <c r="R135" i="56"/>
  <c r="R123" i="56"/>
  <c r="Q114" i="56"/>
  <c r="T111" i="56"/>
  <c r="R109" i="56"/>
  <c r="S104" i="56"/>
  <c r="Q102" i="56"/>
  <c r="T99" i="56"/>
  <c r="R97" i="56"/>
  <c r="S93" i="56"/>
  <c r="T90" i="56"/>
  <c r="Q81" i="56"/>
  <c r="R76" i="56"/>
  <c r="S71" i="56"/>
  <c r="Q69" i="56"/>
  <c r="T66" i="56"/>
  <c r="R65" i="56"/>
  <c r="S60" i="56"/>
  <c r="Q58" i="56"/>
  <c r="R54" i="56"/>
  <c r="S49" i="56"/>
  <c r="Q47" i="56"/>
  <c r="T43" i="56"/>
  <c r="R41" i="56"/>
  <c r="S36" i="56"/>
  <c r="Q34" i="56"/>
  <c r="T31" i="56"/>
  <c r="Q22" i="56"/>
  <c r="R17" i="56"/>
  <c r="L88" i="56"/>
  <c r="L27" i="56"/>
  <c r="T179" i="56"/>
  <c r="R177" i="56"/>
  <c r="S172" i="56"/>
  <c r="R165" i="56"/>
  <c r="S160" i="56"/>
  <c r="R153" i="56"/>
  <c r="S148" i="56"/>
  <c r="R140" i="56"/>
  <c r="S137" i="56"/>
  <c r="Q135" i="56"/>
  <c r="T132" i="56"/>
  <c r="Q123" i="56"/>
  <c r="T118" i="56"/>
  <c r="S111" i="56"/>
  <c r="Q109" i="56"/>
  <c r="T106" i="56"/>
  <c r="R104" i="56"/>
  <c r="S99" i="56"/>
  <c r="Q97" i="56"/>
  <c r="T94" i="56"/>
  <c r="R93" i="56"/>
  <c r="S90" i="56"/>
  <c r="Q76" i="56"/>
  <c r="T73" i="56"/>
  <c r="R71" i="56"/>
  <c r="S66" i="56"/>
  <c r="Q65" i="56"/>
  <c r="T62" i="56"/>
  <c r="R60" i="56"/>
  <c r="Q54" i="56"/>
  <c r="T51" i="56"/>
  <c r="R49" i="56"/>
  <c r="S43" i="56"/>
  <c r="Q41" i="56"/>
  <c r="T38" i="56"/>
  <c r="R36" i="56"/>
  <c r="S31" i="56"/>
  <c r="T26" i="56"/>
  <c r="Q17" i="56"/>
  <c r="T14" i="56"/>
  <c r="L34" i="56"/>
  <c r="S179" i="56"/>
  <c r="Q177" i="56"/>
  <c r="T174" i="56"/>
  <c r="R172" i="56"/>
  <c r="Q165" i="56"/>
  <c r="T162" i="56"/>
  <c r="R160" i="56"/>
  <c r="Q153" i="56"/>
  <c r="T150" i="56"/>
  <c r="R148" i="56"/>
  <c r="Q140" i="56"/>
  <c r="R137" i="56"/>
  <c r="S132" i="56"/>
  <c r="T127" i="56"/>
  <c r="S118" i="56"/>
  <c r="T113" i="56"/>
  <c r="R111" i="56"/>
  <c r="S106" i="56"/>
  <c r="Q104" i="56"/>
  <c r="T101" i="56"/>
  <c r="R99" i="56"/>
  <c r="S94" i="56"/>
  <c r="Q93" i="56"/>
  <c r="T92" i="56"/>
  <c r="R90" i="56"/>
  <c r="S73" i="56"/>
  <c r="Q71" i="56"/>
  <c r="T68" i="56"/>
  <c r="R66" i="56"/>
  <c r="S62" i="56"/>
  <c r="Q60" i="56"/>
  <c r="T57" i="56"/>
  <c r="S51" i="56"/>
  <c r="Q49" i="56"/>
  <c r="R43" i="56"/>
  <c r="S38" i="56"/>
  <c r="Q36" i="56"/>
  <c r="T33" i="56"/>
  <c r="R31" i="56"/>
  <c r="S26" i="56"/>
  <c r="S14" i="56"/>
  <c r="L151" i="56"/>
  <c r="R179" i="56"/>
  <c r="S174" i="56"/>
  <c r="Q172" i="56"/>
  <c r="T169" i="56"/>
  <c r="S162" i="56"/>
  <c r="Q160" i="56"/>
  <c r="T157" i="56"/>
  <c r="S150" i="56"/>
  <c r="Q148" i="56"/>
  <c r="T144" i="56"/>
  <c r="Q137" i="56"/>
  <c r="T134" i="56"/>
  <c r="R132" i="56"/>
  <c r="S127" i="56"/>
  <c r="R118" i="56"/>
  <c r="S113" i="56"/>
  <c r="Q111" i="56"/>
  <c r="T108" i="56"/>
  <c r="R106" i="56"/>
  <c r="S101" i="56"/>
  <c r="Q99" i="56"/>
  <c r="T96" i="56"/>
  <c r="R94" i="56"/>
  <c r="S92" i="56"/>
  <c r="Q90" i="56"/>
  <c r="T87" i="56"/>
  <c r="R73" i="56"/>
  <c r="S68" i="56"/>
  <c r="Q66" i="56"/>
  <c r="T64" i="56"/>
  <c r="R62" i="56"/>
  <c r="S57" i="56"/>
  <c r="T53" i="56"/>
  <c r="R51" i="56"/>
  <c r="Q43" i="56"/>
  <c r="T40" i="56"/>
  <c r="R38" i="56"/>
  <c r="S33" i="56"/>
  <c r="Q31" i="56"/>
  <c r="T29" i="56"/>
  <c r="R26" i="56"/>
  <c r="R14" i="56"/>
  <c r="L93" i="56"/>
  <c r="L45" i="56"/>
  <c r="Q179" i="56"/>
  <c r="T176" i="56"/>
  <c r="R174" i="56"/>
  <c r="S169" i="56"/>
  <c r="R162" i="56"/>
  <c r="S157" i="56"/>
  <c r="R150" i="56"/>
  <c r="S144" i="56"/>
  <c r="S134" i="56"/>
  <c r="Q132" i="56"/>
  <c r="T129" i="56"/>
  <c r="R127" i="56"/>
  <c r="Q118" i="56"/>
  <c r="R113" i="56"/>
  <c r="S108" i="56"/>
  <c r="Q106" i="56"/>
  <c r="R101" i="56"/>
  <c r="S96" i="56"/>
  <c r="Q94" i="56"/>
  <c r="R92" i="56"/>
  <c r="S87" i="56"/>
  <c r="T82" i="56"/>
  <c r="Q73" i="56"/>
  <c r="T70" i="56"/>
  <c r="R68" i="56"/>
  <c r="S64" i="56"/>
  <c r="Q62" i="56"/>
  <c r="T59" i="56"/>
  <c r="R57" i="56"/>
  <c r="S53" i="56"/>
  <c r="Q51" i="56"/>
  <c r="T48" i="56"/>
  <c r="S40" i="56"/>
  <c r="Q38" i="56"/>
  <c r="T35" i="56"/>
  <c r="R33" i="56"/>
  <c r="S29" i="56"/>
  <c r="Q26" i="56"/>
  <c r="T23" i="56"/>
  <c r="Q14" i="56"/>
  <c r="S176" i="56"/>
  <c r="Q174" i="56"/>
  <c r="T171" i="56"/>
  <c r="R169" i="56"/>
  <c r="Q162" i="56"/>
  <c r="T159" i="56"/>
  <c r="R157" i="56"/>
  <c r="Q150" i="56"/>
  <c r="T147" i="56"/>
  <c r="R144" i="56"/>
  <c r="T136" i="56"/>
  <c r="R134" i="56"/>
  <c r="S129" i="56"/>
  <c r="Q127" i="56"/>
  <c r="T124" i="56"/>
  <c r="Q113" i="56"/>
  <c r="R108" i="56"/>
  <c r="Q101" i="56"/>
  <c r="T98" i="56"/>
  <c r="R96" i="56"/>
  <c r="Q92" i="56"/>
  <c r="T89" i="56"/>
  <c r="R87" i="56"/>
  <c r="S82" i="56"/>
  <c r="T77" i="56"/>
  <c r="S70" i="56"/>
  <c r="Q68" i="56"/>
  <c r="R64" i="56"/>
  <c r="S59" i="56"/>
  <c r="Q57" i="56"/>
  <c r="T55" i="56"/>
  <c r="R53" i="56"/>
  <c r="S48" i="56"/>
  <c r="T42" i="56"/>
  <c r="R40" i="56"/>
  <c r="S35" i="56"/>
  <c r="Q33" i="56"/>
  <c r="T30" i="56"/>
  <c r="R29" i="56"/>
  <c r="S23" i="56"/>
  <c r="T18" i="56"/>
  <c r="L59" i="56"/>
  <c r="L44" i="56"/>
  <c r="L41" i="56"/>
  <c r="L30" i="56"/>
  <c r="R176" i="56"/>
  <c r="S171" i="56"/>
  <c r="Q169" i="56"/>
  <c r="T166" i="56"/>
  <c r="S159" i="56"/>
  <c r="Q157" i="56"/>
  <c r="T154" i="56"/>
  <c r="S147" i="56"/>
  <c r="Q144" i="56"/>
  <c r="T141" i="56"/>
  <c r="S136" i="56"/>
  <c r="Q134" i="56"/>
  <c r="T131" i="56"/>
  <c r="R129" i="56"/>
  <c r="S124" i="56"/>
  <c r="T117" i="56"/>
  <c r="Q108" i="56"/>
  <c r="S98" i="56"/>
  <c r="Q96" i="56"/>
  <c r="S89" i="56"/>
  <c r="Q87" i="56"/>
  <c r="T84" i="56"/>
  <c r="R82" i="56"/>
  <c r="S77" i="56"/>
  <c r="T72" i="56"/>
  <c r="R70" i="56"/>
  <c r="Q64" i="56"/>
  <c r="R59" i="56"/>
  <c r="S55" i="56"/>
  <c r="Q53" i="56"/>
  <c r="T50" i="56"/>
  <c r="R48" i="56"/>
  <c r="S42" i="56"/>
  <c r="Q40" i="56"/>
  <c r="R35" i="56"/>
  <c r="S30" i="56"/>
  <c r="Q29" i="56"/>
  <c r="T25" i="56"/>
  <c r="R23" i="56"/>
  <c r="S18" i="56"/>
  <c r="L179" i="56"/>
  <c r="L168" i="56"/>
  <c r="L165" i="56"/>
  <c r="L104" i="56"/>
  <c r="L79" i="56"/>
  <c r="L47" i="56"/>
  <c r="L50" i="71"/>
  <c r="L46" i="71"/>
  <c r="L38" i="71"/>
  <c r="L42" i="71"/>
  <c r="L94" i="71"/>
  <c r="L64" i="71"/>
  <c r="L35" i="71"/>
  <c r="L74" i="71"/>
  <c r="L57" i="71"/>
  <c r="L49" i="71"/>
  <c r="L45" i="71"/>
  <c r="L79" i="71"/>
  <c r="L55" i="71"/>
  <c r="L71" i="71"/>
  <c r="L32" i="71"/>
  <c r="Q10" i="71"/>
  <c r="L66" i="71"/>
  <c r="L70" i="71"/>
  <c r="L73" i="71"/>
  <c r="L65" i="71"/>
  <c r="L61" i="71"/>
  <c r="L41" i="71"/>
  <c r="L80" i="71"/>
  <c r="L56" i="71"/>
  <c r="L63" i="71"/>
  <c r="L51" i="71"/>
  <c r="L47" i="71"/>
  <c r="L43" i="71"/>
  <c r="T10" i="71"/>
  <c r="R10" i="71"/>
  <c r="L48" i="71"/>
  <c r="L44" i="71"/>
  <c r="L101" i="71"/>
  <c r="L81" i="71"/>
  <c r="S10" i="71"/>
  <c r="L58" i="71"/>
  <c r="L62" i="71"/>
  <c r="L54" i="71"/>
  <c r="L39" i="71"/>
  <c r="L95" i="71"/>
  <c r="L85" i="71"/>
  <c r="L60" i="71"/>
  <c r="T44" i="56"/>
  <c r="P44" i="56"/>
  <c r="L15" i="62"/>
  <c r="S44" i="56"/>
  <c r="R44" i="56"/>
  <c r="R16" i="41"/>
  <c r="S16" i="41"/>
  <c r="Q16" i="41"/>
  <c r="P16" i="41"/>
  <c r="L14" i="62"/>
  <c r="T21" i="62"/>
  <c r="R19" i="62"/>
  <c r="P17" i="62"/>
  <c r="S14" i="62"/>
  <c r="S21" i="62"/>
  <c r="Q19" i="62"/>
  <c r="T16" i="62"/>
  <c r="R14" i="62"/>
  <c r="R21" i="62"/>
  <c r="P19" i="62"/>
  <c r="S16" i="62"/>
  <c r="Q14" i="62"/>
  <c r="Q21" i="62"/>
  <c r="T18" i="62"/>
  <c r="R16" i="62"/>
  <c r="P14" i="62"/>
  <c r="S18" i="62"/>
  <c r="Q16" i="62"/>
  <c r="T13" i="62"/>
  <c r="T20" i="62"/>
  <c r="R18" i="62"/>
  <c r="S13" i="62"/>
  <c r="S20" i="62"/>
  <c r="Q18" i="62"/>
  <c r="T15" i="62"/>
  <c r="R13" i="62"/>
  <c r="T25" i="62"/>
  <c r="R20" i="62"/>
  <c r="S15" i="62"/>
  <c r="Q13" i="62"/>
  <c r="S25" i="62"/>
  <c r="Q20" i="62"/>
  <c r="T17" i="62"/>
  <c r="R15" i="62"/>
  <c r="R25" i="62"/>
  <c r="S17" i="62"/>
  <c r="Q15" i="62"/>
  <c r="Q25" i="62"/>
  <c r="T19" i="62"/>
  <c r="R17" i="62"/>
  <c r="T19" i="41"/>
  <c r="R14" i="41"/>
  <c r="P14" i="41"/>
  <c r="L13" i="62"/>
  <c r="T28" i="56"/>
  <c r="S28" i="56"/>
  <c r="R28" i="56"/>
  <c r="Q28" i="56"/>
  <c r="L133" i="56"/>
  <c r="L15" i="56"/>
  <c r="L17" i="56"/>
  <c r="L20" i="56"/>
  <c r="L22" i="56"/>
  <c r="L23" i="56"/>
  <c r="L24" i="56"/>
  <c r="L25" i="56"/>
  <c r="L29" i="56"/>
  <c r="L31" i="56"/>
  <c r="L33" i="56"/>
  <c r="L35" i="56"/>
  <c r="L55" i="56"/>
  <c r="L58" i="56"/>
  <c r="L123" i="56"/>
  <c r="L137" i="56"/>
  <c r="L143" i="56"/>
  <c r="L145" i="56"/>
  <c r="L153" i="56"/>
  <c r="L156" i="56"/>
  <c r="L158" i="56"/>
  <c r="L160" i="56"/>
  <c r="L163" i="56"/>
  <c r="L172" i="56"/>
  <c r="L59" i="71"/>
  <c r="L75" i="71"/>
  <c r="L72" i="71"/>
  <c r="L78" i="71"/>
  <c r="Q8" i="71" l="1"/>
  <c r="T8" i="71"/>
  <c r="P8" i="71"/>
  <c r="R8" i="71"/>
  <c r="S8" i="71"/>
  <c r="E23" i="66"/>
  <c r="B2" i="71"/>
  <c r="I19" i="68"/>
  <c r="I20" i="68"/>
  <c r="I21" i="68"/>
  <c r="I22" i="68"/>
  <c r="I24" i="68"/>
  <c r="J20" i="68"/>
  <c r="J21" i="68"/>
  <c r="J22" i="68"/>
  <c r="J24" i="68"/>
  <c r="J19" i="68"/>
  <c r="I13" i="68"/>
  <c r="J11" i="68"/>
  <c r="J12" i="68"/>
  <c r="J13" i="68"/>
  <c r="J36" i="68"/>
  <c r="J35" i="68"/>
  <c r="I35" i="68"/>
  <c r="I36" i="68"/>
  <c r="I48" i="69"/>
  <c r="J48" i="69"/>
  <c r="M48" i="69"/>
  <c r="P48" i="69" s="1"/>
  <c r="M52" i="69"/>
  <c r="P52" i="69" s="1"/>
  <c r="M51" i="69"/>
  <c r="P51" i="69" s="1"/>
  <c r="I51" i="69"/>
  <c r="J51" i="69"/>
  <c r="I52" i="69"/>
  <c r="J52" i="69"/>
  <c r="J60" i="69"/>
  <c r="J61" i="69"/>
  <c r="M60" i="69"/>
  <c r="P60" i="69" s="1"/>
  <c r="M61" i="69"/>
  <c r="M62" i="69"/>
  <c r="R62" i="69" s="1"/>
  <c r="M63" i="69"/>
  <c r="T63" i="69" s="1"/>
  <c r="I60" i="69"/>
  <c r="I61" i="69"/>
  <c r="L61" i="69"/>
  <c r="I62" i="69"/>
  <c r="J62" i="69"/>
  <c r="I63" i="69"/>
  <c r="J63" i="69"/>
  <c r="B2" i="69"/>
  <c r="I65" i="67"/>
  <c r="J65" i="67"/>
  <c r="K65" i="67"/>
  <c r="L65" i="67"/>
  <c r="M65" i="67"/>
  <c r="I66" i="67"/>
  <c r="J66" i="67"/>
  <c r="K66" i="67"/>
  <c r="L66" i="67"/>
  <c r="M66" i="67"/>
  <c r="I67" i="67"/>
  <c r="J67" i="67"/>
  <c r="K67" i="67"/>
  <c r="M67" i="67"/>
  <c r="A66" i="67"/>
  <c r="A67" i="67"/>
  <c r="A10" i="56"/>
  <c r="A11" i="56"/>
  <c r="A12" i="56"/>
  <c r="A13" i="56"/>
  <c r="C7" i="71" l="1"/>
  <c r="L48" i="69"/>
  <c r="L51" i="69"/>
  <c r="L60" i="69"/>
  <c r="R52" i="69"/>
  <c r="T51" i="69"/>
  <c r="S51" i="69"/>
  <c r="R51" i="69"/>
  <c r="T48" i="69"/>
  <c r="L63" i="69"/>
  <c r="Q51" i="69"/>
  <c r="S48" i="69"/>
  <c r="T52" i="69"/>
  <c r="R48" i="69"/>
  <c r="S52" i="69"/>
  <c r="Q48" i="69"/>
  <c r="Q52" i="69"/>
  <c r="L52" i="69"/>
  <c r="L62" i="69"/>
  <c r="Q62" i="69"/>
  <c r="P62" i="69"/>
  <c r="S63" i="69"/>
  <c r="R63" i="69"/>
  <c r="Q63" i="69"/>
  <c r="T60" i="69"/>
  <c r="P63" i="69"/>
  <c r="S60" i="69"/>
  <c r="T62" i="69"/>
  <c r="R60" i="69"/>
  <c r="S62" i="69"/>
  <c r="Q60" i="69"/>
  <c r="R67" i="67"/>
  <c r="P67" i="67"/>
  <c r="Q67" i="67"/>
  <c r="P66" i="67"/>
  <c r="Q66" i="67"/>
  <c r="R66" i="67"/>
  <c r="S66" i="67"/>
  <c r="T66" i="67"/>
  <c r="T67" i="67"/>
  <c r="L67" i="67"/>
  <c r="S67" i="67"/>
  <c r="A65" i="67"/>
  <c r="M59" i="69" l="1"/>
  <c r="T59" i="69" s="1"/>
  <c r="J59" i="69"/>
  <c r="I59" i="69"/>
  <c r="M58" i="69"/>
  <c r="L58" i="69"/>
  <c r="J58" i="69"/>
  <c r="I58" i="69"/>
  <c r="M57" i="69"/>
  <c r="P57" i="69" s="1"/>
  <c r="J57" i="69"/>
  <c r="I57" i="69"/>
  <c r="M56" i="69"/>
  <c r="T56" i="69" s="1"/>
  <c r="J56" i="69"/>
  <c r="I56" i="69"/>
  <c r="M55" i="69"/>
  <c r="L55" i="69"/>
  <c r="J55" i="69"/>
  <c r="I55" i="69"/>
  <c r="M54" i="69"/>
  <c r="P54" i="69" s="1"/>
  <c r="J54" i="69"/>
  <c r="I54" i="69"/>
  <c r="M53" i="69"/>
  <c r="T53" i="69" s="1"/>
  <c r="J53" i="69"/>
  <c r="I53" i="69"/>
  <c r="M50" i="69"/>
  <c r="T50" i="69" s="1"/>
  <c r="J50" i="69"/>
  <c r="I50" i="69"/>
  <c r="M49" i="69"/>
  <c r="L49" i="69"/>
  <c r="J49" i="69"/>
  <c r="I49" i="69"/>
  <c r="M47" i="69"/>
  <c r="Q47" i="69" s="1"/>
  <c r="J47" i="69"/>
  <c r="I47" i="69"/>
  <c r="M46" i="69"/>
  <c r="T46" i="69" s="1"/>
  <c r="J46" i="69"/>
  <c r="I46" i="69"/>
  <c r="M45" i="69"/>
  <c r="T45" i="69" s="1"/>
  <c r="J45" i="69"/>
  <c r="I45" i="69"/>
  <c r="M43" i="69"/>
  <c r="R43" i="69" s="1"/>
  <c r="J43" i="69"/>
  <c r="I43" i="69"/>
  <c r="L43" i="69" s="1"/>
  <c r="M42" i="69"/>
  <c r="T42" i="69" s="1"/>
  <c r="J42" i="69"/>
  <c r="I42" i="69"/>
  <c r="M41" i="69"/>
  <c r="J41" i="69"/>
  <c r="I41" i="69"/>
  <c r="M40" i="69"/>
  <c r="L40" i="69"/>
  <c r="K40" i="69"/>
  <c r="J40" i="69"/>
  <c r="I40" i="69"/>
  <c r="B3" i="68"/>
  <c r="I43" i="68"/>
  <c r="I42" i="68"/>
  <c r="I33" i="68"/>
  <c r="J32" i="68"/>
  <c r="I32" i="68"/>
  <c r="I29" i="68"/>
  <c r="J28" i="68"/>
  <c r="I28" i="68"/>
  <c r="J18" i="68"/>
  <c r="I18" i="68"/>
  <c r="I12" i="68"/>
  <c r="J10" i="68"/>
  <c r="I10" i="68"/>
  <c r="B2" i="67"/>
  <c r="M64" i="67"/>
  <c r="T64" i="67" s="1"/>
  <c r="K64" i="67"/>
  <c r="J64" i="67"/>
  <c r="I64" i="67"/>
  <c r="A64" i="67"/>
  <c r="M63" i="67"/>
  <c r="S63" i="67" s="1"/>
  <c r="L63" i="67"/>
  <c r="K63" i="67"/>
  <c r="J63" i="67"/>
  <c r="I63" i="67"/>
  <c r="A63" i="67"/>
  <c r="M62" i="67"/>
  <c r="K62" i="67"/>
  <c r="M61" i="67"/>
  <c r="S61" i="67" s="1"/>
  <c r="K61" i="67"/>
  <c r="J61" i="67"/>
  <c r="I61" i="67"/>
  <c r="A61" i="67"/>
  <c r="M60" i="67"/>
  <c r="T60" i="67" s="1"/>
  <c r="L60" i="67"/>
  <c r="K60" i="67"/>
  <c r="J60" i="67"/>
  <c r="I60" i="67"/>
  <c r="A60" i="67"/>
  <c r="M59" i="67"/>
  <c r="K59" i="67"/>
  <c r="M58" i="67"/>
  <c r="R58" i="67" s="1"/>
  <c r="K58" i="67"/>
  <c r="J58" i="67"/>
  <c r="I58" i="67"/>
  <c r="A58" i="67"/>
  <c r="M57" i="67"/>
  <c r="Q57" i="67" s="1"/>
  <c r="L57" i="67"/>
  <c r="K57" i="67"/>
  <c r="J57" i="67"/>
  <c r="I57" i="67"/>
  <c r="A57" i="67"/>
  <c r="M56" i="67"/>
  <c r="K56" i="67"/>
  <c r="M55" i="67"/>
  <c r="Q55" i="67" s="1"/>
  <c r="K55" i="67"/>
  <c r="J55" i="67"/>
  <c r="I55" i="67"/>
  <c r="A55" i="67"/>
  <c r="M54" i="67"/>
  <c r="T54" i="67" s="1"/>
  <c r="L54" i="67"/>
  <c r="K54" i="67"/>
  <c r="J54" i="67"/>
  <c r="I54" i="67"/>
  <c r="A54" i="67"/>
  <c r="M53" i="67"/>
  <c r="K53" i="67"/>
  <c r="A53" i="67"/>
  <c r="M52" i="67"/>
  <c r="Q52" i="67" s="1"/>
  <c r="K52" i="67"/>
  <c r="J52" i="67"/>
  <c r="I52" i="67"/>
  <c r="A52" i="67"/>
  <c r="M51" i="67"/>
  <c r="P51" i="67" s="1"/>
  <c r="L51" i="67"/>
  <c r="K51" i="67"/>
  <c r="J51" i="67"/>
  <c r="I51" i="67"/>
  <c r="A51" i="67"/>
  <c r="M50" i="67"/>
  <c r="K50" i="67"/>
  <c r="M49" i="67"/>
  <c r="S49" i="67" s="1"/>
  <c r="K49" i="67"/>
  <c r="J49" i="67"/>
  <c r="I49" i="67"/>
  <c r="A49" i="67"/>
  <c r="M48" i="67"/>
  <c r="L48" i="67"/>
  <c r="K48" i="67"/>
  <c r="J48" i="67"/>
  <c r="I48" i="67"/>
  <c r="A48" i="67"/>
  <c r="M47" i="67"/>
  <c r="L47" i="67"/>
  <c r="K47" i="67"/>
  <c r="J47" i="67"/>
  <c r="I47" i="67"/>
  <c r="A47" i="67"/>
  <c r="I46" i="68" l="1"/>
  <c r="D42" i="66" s="1"/>
  <c r="L47" i="69"/>
  <c r="P48" i="67"/>
  <c r="S48" i="67"/>
  <c r="Q48" i="67"/>
  <c r="R48" i="67"/>
  <c r="T48" i="67"/>
  <c r="L54" i="69"/>
  <c r="I31" i="68"/>
  <c r="C23" i="66"/>
  <c r="C5" i="71"/>
  <c r="C6" i="71"/>
  <c r="L55" i="67"/>
  <c r="I40" i="68"/>
  <c r="I9" i="68"/>
  <c r="I27" i="68"/>
  <c r="I17" i="68"/>
  <c r="L56" i="69"/>
  <c r="R41" i="69"/>
  <c r="S41" i="69"/>
  <c r="L42" i="69"/>
  <c r="L46" i="69"/>
  <c r="E27" i="66"/>
  <c r="R47" i="69"/>
  <c r="L53" i="69"/>
  <c r="S54" i="69"/>
  <c r="L57" i="69"/>
  <c r="E28" i="66"/>
  <c r="Q57" i="69"/>
  <c r="Q59" i="69"/>
  <c r="Q53" i="69"/>
  <c r="R57" i="69"/>
  <c r="T57" i="69"/>
  <c r="S57" i="69"/>
  <c r="R59" i="69"/>
  <c r="L50" i="69"/>
  <c r="P56" i="69"/>
  <c r="Q56" i="69"/>
  <c r="T41" i="69"/>
  <c r="R56" i="69"/>
  <c r="Q54" i="69"/>
  <c r="R54" i="69"/>
  <c r="L59" i="69"/>
  <c r="T54" i="69"/>
  <c r="P42" i="69"/>
  <c r="L45" i="69"/>
  <c r="T55" i="67"/>
  <c r="T61" i="67"/>
  <c r="L49" i="67"/>
  <c r="L61" i="67"/>
  <c r="Q60" i="67"/>
  <c r="S60" i="67"/>
  <c r="S51" i="67"/>
  <c r="P55" i="67"/>
  <c r="L64" i="67"/>
  <c r="R55" i="67"/>
  <c r="L52" i="67"/>
  <c r="S55" i="67"/>
  <c r="L58" i="67"/>
  <c r="R61" i="67"/>
  <c r="P43" i="69"/>
  <c r="S47" i="69"/>
  <c r="Q43" i="69"/>
  <c r="P46" i="69"/>
  <c r="T47" i="69"/>
  <c r="P53" i="69"/>
  <c r="P59" i="69"/>
  <c r="Q42" i="69"/>
  <c r="P45" i="69"/>
  <c r="R46" i="69"/>
  <c r="R53" i="69"/>
  <c r="Q46" i="69"/>
  <c r="S43" i="69"/>
  <c r="P50" i="69"/>
  <c r="P41" i="69"/>
  <c r="R42" i="69"/>
  <c r="T43" i="69"/>
  <c r="Q45" i="69"/>
  <c r="S46" i="69"/>
  <c r="Q50" i="69"/>
  <c r="S53" i="69"/>
  <c r="S59" i="69"/>
  <c r="Q41" i="69"/>
  <c r="R45" i="69"/>
  <c r="R50" i="69"/>
  <c r="S42" i="69"/>
  <c r="S45" i="69"/>
  <c r="S50" i="69"/>
  <c r="P47" i="69"/>
  <c r="S56" i="69"/>
  <c r="Q51" i="67"/>
  <c r="R52" i="67"/>
  <c r="R57" i="67"/>
  <c r="S58" i="67"/>
  <c r="T63" i="67"/>
  <c r="T49" i="67"/>
  <c r="R51" i="67"/>
  <c r="S52" i="67"/>
  <c r="S57" i="67"/>
  <c r="T58" i="67"/>
  <c r="T52" i="67"/>
  <c r="T57" i="67"/>
  <c r="P61" i="67"/>
  <c r="T51" i="67"/>
  <c r="P60" i="67"/>
  <c r="Q61" i="67"/>
  <c r="P49" i="67"/>
  <c r="P54" i="67"/>
  <c r="R60" i="67"/>
  <c r="Q54" i="67"/>
  <c r="R49" i="67"/>
  <c r="R54" i="67"/>
  <c r="P64" i="67"/>
  <c r="S54" i="67"/>
  <c r="P63" i="67"/>
  <c r="Q64" i="67"/>
  <c r="P58" i="67"/>
  <c r="Q63" i="67"/>
  <c r="R64" i="67"/>
  <c r="Q49" i="67"/>
  <c r="P52" i="67"/>
  <c r="P57" i="67"/>
  <c r="Q58" i="67"/>
  <c r="R63" i="67"/>
  <c r="S64" i="67"/>
  <c r="B34" i="66" l="1"/>
  <c r="G23" i="66"/>
  <c r="T37" i="69"/>
  <c r="Q37" i="69"/>
  <c r="P37" i="69"/>
  <c r="S37" i="69"/>
  <c r="Q45" i="67"/>
  <c r="R37" i="69"/>
  <c r="C7" i="69" s="1"/>
  <c r="R45" i="67"/>
  <c r="P45" i="67"/>
  <c r="T45" i="67"/>
  <c r="S45" i="67"/>
  <c r="C5" i="69" l="1"/>
  <c r="C7" i="67"/>
  <c r="C6" i="69"/>
  <c r="C27" i="66"/>
  <c r="D27" i="66" s="1"/>
  <c r="C28" i="66"/>
  <c r="D28" i="66" s="1"/>
  <c r="C6" i="67"/>
  <c r="C5" i="67"/>
  <c r="G28" i="66" l="1"/>
  <c r="G27" i="66"/>
  <c r="B2" i="66"/>
  <c r="B2" i="62"/>
  <c r="B2" i="56"/>
  <c r="B2" i="41"/>
  <c r="F27" i="66" l="1"/>
  <c r="F28" i="66"/>
  <c r="A13" i="62" l="1"/>
  <c r="M12" i="62"/>
  <c r="K12" i="62"/>
  <c r="J12" i="62"/>
  <c r="I12" i="62"/>
  <c r="A12" i="62"/>
  <c r="M11" i="62"/>
  <c r="K11" i="62"/>
  <c r="J11" i="62"/>
  <c r="I11" i="62"/>
  <c r="A11" i="62"/>
  <c r="M10" i="62"/>
  <c r="S10" i="62" s="1"/>
  <c r="L10" i="62"/>
  <c r="K10" i="62"/>
  <c r="J10" i="62"/>
  <c r="I10" i="62"/>
  <c r="A10" i="62"/>
  <c r="M12" i="56"/>
  <c r="K12" i="56"/>
  <c r="J12" i="56"/>
  <c r="I12" i="56"/>
  <c r="M10" i="56"/>
  <c r="L10" i="56"/>
  <c r="K10" i="56"/>
  <c r="J10" i="56"/>
  <c r="I10" i="56"/>
  <c r="I11" i="56"/>
  <c r="J11" i="56"/>
  <c r="K11" i="56" s="1"/>
  <c r="M11" i="56"/>
  <c r="E24" i="66" l="1"/>
  <c r="E25" i="66"/>
  <c r="R12" i="62"/>
  <c r="S12" i="62"/>
  <c r="T12" i="62"/>
  <c r="P12" i="62"/>
  <c r="Q12" i="62"/>
  <c r="R12" i="56"/>
  <c r="Q12" i="56"/>
  <c r="S12" i="56"/>
  <c r="T12" i="56"/>
  <c r="P12" i="56"/>
  <c r="P11" i="56"/>
  <c r="Q11" i="56"/>
  <c r="R11" i="56"/>
  <c r="S11" i="56"/>
  <c r="T11" i="56"/>
  <c r="P10" i="56"/>
  <c r="Q10" i="56"/>
  <c r="R10" i="56"/>
  <c r="S10" i="56"/>
  <c r="T10" i="56"/>
  <c r="P11" i="62"/>
  <c r="Q11" i="62"/>
  <c r="R11" i="62"/>
  <c r="S11" i="62"/>
  <c r="T11" i="62"/>
  <c r="L12" i="62"/>
  <c r="T10" i="62"/>
  <c r="L11" i="62"/>
  <c r="P10" i="62"/>
  <c r="Q10" i="62"/>
  <c r="R10" i="62"/>
  <c r="R8" i="62" s="1"/>
  <c r="L12" i="56"/>
  <c r="L11" i="56"/>
  <c r="Q8" i="62" l="1"/>
  <c r="S8" i="62"/>
  <c r="P8" i="62"/>
  <c r="C7" i="62"/>
  <c r="T8" i="62"/>
  <c r="R8" i="56"/>
  <c r="T8" i="56"/>
  <c r="S8" i="56"/>
  <c r="C7" i="56" s="1"/>
  <c r="Q8" i="56"/>
  <c r="P8" i="56"/>
  <c r="B3" i="26"/>
  <c r="C25" i="66" l="1"/>
  <c r="D25" i="66" s="1"/>
  <c r="C6" i="62"/>
  <c r="C5" i="62"/>
  <c r="G25" i="66" l="1"/>
  <c r="L25" i="41"/>
  <c r="K25" i="41"/>
  <c r="J25" i="41"/>
  <c r="I25" i="41"/>
  <c r="L24" i="41"/>
  <c r="K24" i="41"/>
  <c r="J24" i="41"/>
  <c r="I24" i="41"/>
  <c r="A24" i="41"/>
  <c r="L23" i="41"/>
  <c r="K23" i="41"/>
  <c r="J23" i="41"/>
  <c r="I23" i="41"/>
  <c r="A23" i="41"/>
  <c r="L22" i="41"/>
  <c r="K22" i="41"/>
  <c r="J22" i="41"/>
  <c r="I22" i="41"/>
  <c r="A22" i="41"/>
  <c r="K21" i="41"/>
  <c r="L21" i="41" s="1"/>
  <c r="J21" i="41"/>
  <c r="I21" i="41"/>
  <c r="A21" i="41"/>
  <c r="L20" i="41"/>
  <c r="K20" i="41"/>
  <c r="J20" i="41"/>
  <c r="I20" i="41"/>
  <c r="A20" i="41"/>
  <c r="C24" i="66" l="1"/>
  <c r="C6" i="56"/>
  <c r="C5" i="56"/>
  <c r="G24" i="66" l="1"/>
  <c r="D24" i="66"/>
  <c r="K13" i="41"/>
  <c r="J13" i="41"/>
  <c r="I13" i="41"/>
  <c r="A13" i="41"/>
  <c r="K12" i="41"/>
  <c r="J12" i="41"/>
  <c r="I12" i="41"/>
  <c r="A12" i="41"/>
  <c r="T12" i="41" l="1"/>
  <c r="R12" i="41"/>
  <c r="P12" i="41"/>
  <c r="Q12" i="41"/>
  <c r="S12" i="41"/>
  <c r="L13" i="41"/>
  <c r="L12" i="41"/>
  <c r="C15" i="46"/>
  <c r="B5" i="46"/>
  <c r="K18" i="41" l="1"/>
  <c r="J18" i="41"/>
  <c r="I18" i="41"/>
  <c r="A18" i="41"/>
  <c r="K17" i="41"/>
  <c r="J17" i="41"/>
  <c r="I17" i="41"/>
  <c r="A17" i="41"/>
  <c r="K16" i="41"/>
  <c r="J16" i="41"/>
  <c r="I16" i="41"/>
  <c r="A16" i="41"/>
  <c r="L15" i="41"/>
  <c r="K15" i="41"/>
  <c r="J15" i="41"/>
  <c r="I15" i="41"/>
  <c r="A15" i="41"/>
  <c r="J11" i="41"/>
  <c r="K11" i="41" s="1"/>
  <c r="I11" i="41"/>
  <c r="A11" i="41"/>
  <c r="M10" i="41"/>
  <c r="L10" i="41"/>
  <c r="K10" i="41"/>
  <c r="J10" i="41"/>
  <c r="E21" i="66" s="1"/>
  <c r="E26" i="66" s="1"/>
  <c r="I10" i="41"/>
  <c r="A10" i="41"/>
  <c r="P11" i="41" l="1"/>
  <c r="P8" i="41" s="1"/>
  <c r="Q11" i="41"/>
  <c r="Q8" i="41" s="1"/>
  <c r="R11" i="41"/>
  <c r="R8" i="41" s="1"/>
  <c r="S11" i="41"/>
  <c r="S8" i="41" s="1"/>
  <c r="T11" i="41"/>
  <c r="T8" i="41" s="1"/>
  <c r="L18" i="41"/>
  <c r="L16" i="41"/>
  <c r="C7" i="41" s="1"/>
  <c r="L17" i="41"/>
  <c r="L11" i="41"/>
  <c r="C21" i="66" l="1"/>
  <c r="C26" i="66" s="1"/>
  <c r="C5" i="41"/>
  <c r="C6" i="41"/>
  <c r="D23" i="66" l="1"/>
  <c r="D21" i="66"/>
  <c r="G21" i="66"/>
  <c r="B3" i="5"/>
  <c r="D26" i="66" l="1"/>
  <c r="F26" i="66" s="1"/>
  <c r="D30" i="66" s="1"/>
  <c r="D39" i="66" s="1"/>
  <c r="D44" i="66" s="1"/>
  <c r="C30" i="66"/>
  <c r="G30" i="66" s="1"/>
  <c r="G26" i="66"/>
  <c r="F30" i="6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tc={8C9814C2-3587-44B3-8A89-20331307C609}</author>
    <author>tc={A79822B9-11A5-4CA5-95BE-014A88149C18}</author>
    <author>tc={131662F1-AF1D-4444-8FE6-8B043832B0CE}</author>
    <author>tc={C5E30B31-045A-490F-A6B2-03AD4AD891EE}</author>
    <author>tc={F1C347AE-7AEA-4D28-9C03-75A52FC337DD}</author>
  </authors>
  <commentList>
    <comment ref="P9" authorId="0" shapeId="0" xr:uid="{8C9814C2-3587-44B3-8A89-20331307C60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A79822B9-11A5-4CA5-95BE-014A88149C1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131662F1-AF1D-4444-8FE6-8B043832B0C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C5E30B31-045A-490F-A6B2-03AD4AD891E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F1C347AE-7AEA-4D28-9C03-75A52FC337D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tc={A97BF0B2-A296-4EB6-960B-63373C6DD86F}</author>
    <author>tc={FE4B403A-F778-4933-A3A8-74E15035B967}</author>
    <author>tc={9D21EB47-F79A-4E83-9F56-A4F94692D9A7}</author>
    <author>tc={A60A3560-ACD0-464C-BEB1-C70AF203D197}</author>
    <author>tc={815F2491-47F3-4133-A292-EDF06D701E0D}</author>
  </authors>
  <commentList>
    <comment ref="P9" authorId="0" shapeId="0" xr:uid="{A97BF0B2-A296-4EB6-960B-63373C6DD86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FE4B403A-F778-4933-A3A8-74E15035B96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9D21EB47-F79A-4E83-9F56-A4F94692D9A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A60A3560-ACD0-464C-BEB1-C70AF203D19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815F2491-47F3-4133-A292-EDF06D701E0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tc={253330B3-14FB-4FA9-BF8C-038889282E07}</author>
    <author>tc={B736FDE6-ED20-466A-BB3D-F8D36923FAA4}</author>
    <author>tc={871A5DD5-C245-4A11-9059-BC144F6BBB4E}</author>
    <author>tc={BED3D12A-6077-4915-AD97-301EE77B82F9}</author>
    <author>tc={B8D23E10-7567-4EF2-BCC1-A62C5950F825}</author>
  </authors>
  <commentList>
    <comment ref="P9" authorId="0" shapeId="0" xr:uid="{253330B3-14FB-4FA9-BF8C-038889282E0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B736FDE6-ED20-466A-BB3D-F8D36923FAA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871A5DD5-C245-4A11-9059-BC144F6BBB4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BED3D12A-6077-4915-AD97-301EE77B82F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B8D23E10-7567-4EF2-BCC1-A62C5950F82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tc={EF770D54-5E1B-4E54-91AA-5CF110EAD7C6}</author>
    <author>tc={D2BB9EAC-566D-454B-89B0-DE91A5E66B34}</author>
    <author>tc={E11B0137-3F8C-4702-8333-464B75913899}</author>
    <author>tc={153B05FA-3864-4AB9-9043-C0EDE15D82BE}</author>
    <author>tc={A431BDBD-063A-40CD-BE3D-B6F81031CB79}</author>
  </authors>
  <commentList>
    <comment ref="P9" authorId="0" shapeId="0" xr:uid="{EF770D54-5E1B-4E54-91AA-5CF110EAD7C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D2BB9EAC-566D-454B-89B0-DE91A5E66B3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E11B0137-3F8C-4702-8333-464B7591389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153B05FA-3864-4AB9-9043-C0EDE15D82B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A431BDBD-063A-40CD-BE3D-B6F81031CB7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tc={FAE92ECC-04DD-4B12-BD34-A1CC63A0D06D}</author>
    <author>tc={E92CCB6D-2ECC-46A5-8CF3-AA71AE6B6735}</author>
    <author>tc={32E124C3-D5BA-498D-BF39-30AE1F1731EE}</author>
    <author>tc={D51BC3BB-CA88-419E-8AD6-BC69DA306B14}</author>
    <author>tc={8211AFDB-CF57-4F6D-8150-79EFDD072E07}</author>
  </authors>
  <commentList>
    <comment ref="P9" authorId="0" shapeId="0" xr:uid="{FAE92ECC-04DD-4B12-BD34-A1CC63A0D06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E92CCB6D-2ECC-46A5-8CF3-AA71AE6B673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32E124C3-D5BA-498D-BF39-30AE1F1731E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D51BC3BB-CA88-419E-8AD6-BC69DA306B1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8211AFDB-CF57-4F6D-8150-79EFDD072E0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tc={E5A904DA-56BB-42FE-9877-11D4D1E8152A}</author>
    <author>tc={E06641E7-E2E7-4168-8271-17DC77924D55}</author>
    <author>tc={96EC3D6D-9C60-48CC-BEEA-56079CCE77FC}</author>
    <author>tc={F68FEC5E-F200-47E3-95C8-E218DDF6C2DC}</author>
    <author>tc={B477502B-E280-4901-AEDF-D4DDB2AFCD56}</author>
  </authors>
  <commentList>
    <comment ref="P46" authorId="0" shapeId="0" xr:uid="{E5A904DA-56BB-42FE-9877-11D4D1E8152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46" authorId="1" shapeId="0" xr:uid="{E06641E7-E2E7-4168-8271-17DC77924D5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46" authorId="2" shapeId="0" xr:uid="{96EC3D6D-9C60-48CC-BEEA-56079CCE77F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46" authorId="3" shapeId="0" xr:uid="{F68FEC5E-F200-47E3-95C8-E218DDF6C2D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46" authorId="4" shapeId="0" xr:uid="{B477502B-E280-4901-AEDF-D4DDB2AFCD5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tc={59B45DE8-670A-4DB9-8283-DCEF4F11A839}</author>
    <author>tc={83B3B91B-6AF8-49D6-867E-62CC7F24FC2D}</author>
    <author>tc={A8B94493-7B39-4DD3-98FF-D0B9886896FD}</author>
    <author>tc={4F35B657-8D80-4DE2-856D-A9E77F5B001D}</author>
    <author>tc={89132333-E5A7-4A09-991D-6F76E5255BD1}</author>
  </authors>
  <commentList>
    <comment ref="P38" authorId="0" shapeId="0" xr:uid="{59B45DE8-670A-4DB9-8283-DCEF4F11A83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38" authorId="1" shapeId="0" xr:uid="{83B3B91B-6AF8-49D6-867E-62CC7F24FC2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38" authorId="2" shapeId="0" xr:uid="{A8B94493-7B39-4DD3-98FF-D0B9886896F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38" authorId="3" shapeId="0" xr:uid="{4F35B657-8D80-4DE2-856D-A9E77F5B001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38" authorId="4" shapeId="0" xr:uid="{89132333-E5A7-4A09-991D-6F76E5255BD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sharedStrings.xml><?xml version="1.0" encoding="utf-8"?>
<sst xmlns="http://schemas.openxmlformats.org/spreadsheetml/2006/main" count="2365" uniqueCount="1091">
  <si>
    <t>Zuschlagserteilung im Vergabeverfahren</t>
  </si>
  <si>
    <r>
      <t xml:space="preserve">Info: </t>
    </r>
    <r>
      <rPr>
        <i/>
        <sz val="9"/>
        <rFont val="Trebuchet MS"/>
        <family val="2"/>
      </rPr>
      <t>Wählen Sie hier aus mit welcher Methode die Angebote bewertet werden soll.</t>
    </r>
  </si>
  <si>
    <t>Reine Preiswertung</t>
  </si>
  <si>
    <t xml:space="preserve">Bei der Zuschlagserteilung richtet sich die Auftraggeberin nach der reinen Preiswertung, bei der der Preis das einzige Zuschlagskriterium ist. Vorausgesetzt, dass es alle geforderten Leistungen sowie Eignung und auch alle Eignungskriterien vorbehaltslos erfüllt, erhält das Angebot mit dem niedrigsten Preis im Wettbewerb den Zuschlag. </t>
  </si>
  <si>
    <t>ja</t>
  </si>
  <si>
    <t>Einfache Richtwertmethode</t>
  </si>
  <si>
    <t>Vorraussetzung für die Zuschlagserteilung ist, dass alle A-Kriterien der Eignungskriterien und alle A-Kriterien der Leistungsanforderungen (Zuschlagskriterien) erfüllt sind.
Der Zuschlag wird dann auf das wirtschaftlichste Angebot erteilt. Ausschlaggebend sind hierbei die Kriterien „Preis“ und „Leistung“ . Die Auftraggeberin geht bei der Wertung nach der sogenannten „Einfachen Richtwertmethode“ gemäß UfAB 2018 vor. Das wirtschaftlichste Angebot ist dasjenige mit der höchsten Kennzahl Z, die aus dem Quotienten aus den Leistungspunkten L (Kriterium „Leistung“) und Angebotssumme P (Kriterium „Preis“) besteht.
Die Errechnung der Kennzahl Z und damit des Preis-Leistungs-Verhältnisses des Angebots erfolgt mit der folgenden Formel: Z = L / P</t>
  </si>
  <si>
    <t>maximal zu ereichende Leistungspunkte L(max) =</t>
  </si>
  <si>
    <t>Bewertung mit Gewichtungsfaktoren</t>
  </si>
  <si>
    <t>Voraussetzung für die Zuschlagserteilung ist, dass alle A-Kriterien der Eignungskriterien und alle A-Kriterien der Leistungsanforderungen (Zuschlagskriterien) erfüllt sind.
Der Zuschlag wird dann auf das wirtschaftlichste Angebot erteilt. Ausschlaggebend sind hierbei die Kriterien „Preis“ und „Leistung“. Dabei wird der Preis eines jeden Angebotes ins Verhältnis zum günstigsten, abgegebenen Angebotes gesetzt sowie die erreichten Leistungspunkte ins Verhältnis zu den maximal zu erreichende Leistungspunktzahl. Über Gewichtungsfaktoren ist festgelgt in welchem Verhältnis die Preis- bzw. Leistungskomponente in das Gesamtergebnis bzw. die Kennzahl Z eingeht. Das wirtschaftlichste Angebot ist dasjenige mit der höchsten Kennzahl Z (Wertebereich {0 &lt; Z &lt;= 1}).
Die Errechnung der Kennzahl Z(i) des Angebots (i) erfolgt mit der folgenden Formel: Z(i) = w(L) * L(i) / L(max) + w(P) * P(min) / P(i)</t>
  </si>
  <si>
    <t>Hinweis: Die Summe der Gewichtungsfaktoren muss 1 ergeben.</t>
  </si>
  <si>
    <t>Gewichtungsfaktoren:</t>
  </si>
  <si>
    <t>- Leistung w(L)</t>
  </si>
  <si>
    <t>- Preis w(P)</t>
  </si>
  <si>
    <t>Auswahlhilfe</t>
  </si>
  <si>
    <t>Verfahrensart</t>
  </si>
  <si>
    <t>Eignungskriterien</t>
  </si>
  <si>
    <t>Qualitätskriterien</t>
  </si>
  <si>
    <t>auszufüllen von …</t>
  </si>
  <si>
    <t>Wertebereich</t>
  </si>
  <si>
    <t>ja/nein</t>
  </si>
  <si>
    <t>KON-2</t>
  </si>
  <si>
    <t>KON-3</t>
  </si>
  <si>
    <t>KON-5</t>
  </si>
  <si>
    <t>KON-8</t>
  </si>
  <si>
    <t>F.1.2.3</t>
  </si>
  <si>
    <t>F.1.3.1</t>
  </si>
  <si>
    <t>F.1.3.2</t>
  </si>
  <si>
    <t>F.1.4</t>
  </si>
  <si>
    <t>F.1.5</t>
  </si>
  <si>
    <t>F.1.6</t>
  </si>
  <si>
    <t>F.1.7</t>
  </si>
  <si>
    <t>F.1.8</t>
  </si>
  <si>
    <t>F.1.9</t>
  </si>
  <si>
    <t>F.1.10</t>
  </si>
  <si>
    <t>F.1.11</t>
  </si>
  <si>
    <t>KON-17</t>
  </si>
  <si>
    <t>PRÄ-3</t>
  </si>
  <si>
    <t>I.2.1</t>
  </si>
  <si>
    <t>I.2.2</t>
  </si>
  <si>
    <t>I.2.3</t>
  </si>
  <si>
    <t>I.3.1</t>
  </si>
  <si>
    <t>I.3.2</t>
  </si>
  <si>
    <t>I.3.3</t>
  </si>
  <si>
    <t>I.3.4</t>
  </si>
  <si>
    <t>I.3.5</t>
  </si>
  <si>
    <t>I.3.6</t>
  </si>
  <si>
    <t>I.3.7</t>
  </si>
  <si>
    <t>I.3.8</t>
  </si>
  <si>
    <t>I.3.9</t>
  </si>
  <si>
    <t>I.4.1</t>
  </si>
  <si>
    <t>I.4.2</t>
  </si>
  <si>
    <t>I.5.1</t>
  </si>
  <si>
    <t>I.5.2</t>
  </si>
  <si>
    <t>I.5.3</t>
  </si>
  <si>
    <t>A.1.1</t>
  </si>
  <si>
    <t>I.1.32</t>
  </si>
  <si>
    <t>I.1.43</t>
  </si>
  <si>
    <t>I.1.52</t>
  </si>
  <si>
    <t>I.1.63</t>
  </si>
  <si>
    <t>I.1.22</t>
  </si>
  <si>
    <t>1.1.3</t>
  </si>
  <si>
    <t>3.1.1</t>
  </si>
  <si>
    <t>3.1.2</t>
  </si>
  <si>
    <t>3.1.3</t>
  </si>
  <si>
    <t>3.1.4</t>
  </si>
  <si>
    <t>3.1.5</t>
  </si>
  <si>
    <t>3.1.6</t>
  </si>
  <si>
    <t>3.1.7</t>
  </si>
  <si>
    <t>3.1.8</t>
  </si>
  <si>
    <t>3.1.9</t>
  </si>
  <si>
    <t>3.1.10</t>
  </si>
  <si>
    <t>3.1.11</t>
  </si>
  <si>
    <t>3.1.12</t>
  </si>
  <si>
    <t>§ 15 VgV: Offenes Verfahren</t>
  </si>
  <si>
    <t>A-Kriterium</t>
  </si>
  <si>
    <t>Auftragsgeber/in</t>
  </si>
  <si>
    <t xml:space="preserve">betriebsbereit </t>
  </si>
  <si>
    <t>91-100 %</t>
  </si>
  <si>
    <t xml:space="preserve">konsitente User Journey für Mitarbeitende und Bürger vorhanden
</t>
  </si>
  <si>
    <t>keine Mitwirkungsleistung notwendig</t>
  </si>
  <si>
    <t>nicht erfüllt</t>
  </si>
  <si>
    <t>Die geforderte Leistung wird sehr gut abgebildet und umgesetzt</t>
  </si>
  <si>
    <t>konsitente User Journey für Mitarbeitende und Bürger vorhanden</t>
  </si>
  <si>
    <t>2 Jahre</t>
  </si>
  <si>
    <t>keine</t>
  </si>
  <si>
    <t>&lt; 10 MA</t>
  </si>
  <si>
    <t>kein</t>
  </si>
  <si>
    <t>500.000 - 700.000 EUR</t>
  </si>
  <si>
    <t>2018-2019</t>
  </si>
  <si>
    <t>500-800</t>
  </si>
  <si>
    <t>Krankenhaus-Branche</t>
  </si>
  <si>
    <t>Konzern mit rechtlich separaten Tochtergesellschaften</t>
  </si>
  <si>
    <t>§ 16 VgV: Nicht offenes Verfahren</t>
  </si>
  <si>
    <t>B-Kriterium</t>
  </si>
  <si>
    <t>Bieter/in</t>
  </si>
  <si>
    <t>nein</t>
  </si>
  <si>
    <t>in Testung</t>
  </si>
  <si>
    <t xml:space="preserve">75-90 %
</t>
  </si>
  <si>
    <t>konsitenten User Journey für Mitarbeitende vorhanden</t>
  </si>
  <si>
    <t>geringe Mittwirkungsleistung notwendig</t>
  </si>
  <si>
    <t>teilweise zugesagt</t>
  </si>
  <si>
    <t>Die geforderte Leistung wird gut abgebildet und umgesetzt.</t>
  </si>
  <si>
    <t>3 Jahre</t>
  </si>
  <si>
    <t>1 - 10 Installationen</t>
  </si>
  <si>
    <t>10 - 20 MA</t>
  </si>
  <si>
    <t>150.000 - 1.000.000</t>
  </si>
  <si>
    <t>700.001 - 1.000.000 EUR</t>
  </si>
  <si>
    <t>2020-2021</t>
  </si>
  <si>
    <t>801-1.250</t>
  </si>
  <si>
    <t>sonstige</t>
  </si>
  <si>
    <t>Einzelunternehmen</t>
  </si>
  <si>
    <t>§ 17 VgV: Verhandlungsverfahren mit Teilnahmewettbewerb</t>
  </si>
  <si>
    <t>n/a</t>
  </si>
  <si>
    <t>B1.1</t>
  </si>
  <si>
    <t>in Entwicklung</t>
  </si>
  <si>
    <t xml:space="preserve">51-74%
</t>
  </si>
  <si>
    <t>konsitente User Journey für Bürger vorhanden</t>
  </si>
  <si>
    <t>mittlere Mittwirkungsleistung notwendig</t>
  </si>
  <si>
    <t>teilweise erfüllt</t>
  </si>
  <si>
    <t>Die geforderte Leistung wird ausreichend abgebildet und umgesetzt.</t>
  </si>
  <si>
    <t>4 Jahre</t>
  </si>
  <si>
    <t>11 - 49 Installationen</t>
  </si>
  <si>
    <t>21 - 50 MA</t>
  </si>
  <si>
    <t>1.000.000 - 2.500.000</t>
  </si>
  <si>
    <t>&gt;1.000.000 EUR</t>
  </si>
  <si>
    <t>ab 2022</t>
  </si>
  <si>
    <t>&gt;1.250</t>
  </si>
  <si>
    <t>§ 17 VgV: Verhandlungsverfahren ohne Teilnahmewettbewerb</t>
  </si>
  <si>
    <t>F.1.1</t>
  </si>
  <si>
    <t>in Konzeption</t>
  </si>
  <si>
    <t>&lt; 50%</t>
  </si>
  <si>
    <t>weder noch</t>
  </si>
  <si>
    <t>hohe Mitwirkungsleistung notwendig</t>
  </si>
  <si>
    <t>vollständig zugesagt</t>
  </si>
  <si>
    <t>Die geforderte Leistung wird mangelhaft und schlecht abgebildet und umgesetzt.</t>
  </si>
  <si>
    <t>5 Jahre</t>
  </si>
  <si>
    <t>50 - 100 Installationen</t>
  </si>
  <si>
    <t>51 - 150 MA</t>
  </si>
  <si>
    <t>2.500.000 - 5.000.000</t>
  </si>
  <si>
    <t>§ 18 VgV: Wettbewerblicher Dialog</t>
  </si>
  <si>
    <t>F.1.2.1</t>
  </si>
  <si>
    <t>vollständig erfüllt</t>
  </si>
  <si>
    <t>6 Jahre</t>
  </si>
  <si>
    <t>101 - 200 Installationen</t>
  </si>
  <si>
    <t>151 - 250 MA</t>
  </si>
  <si>
    <t>5.000.000 - 15.000.000</t>
  </si>
  <si>
    <t>§ 19 VgV: Innovationspartnerschaft</t>
  </si>
  <si>
    <t>F.1.2.2</t>
  </si>
  <si>
    <t>mehr als 200 Installationen</t>
  </si>
  <si>
    <t>mehr als 250 MA</t>
  </si>
  <si>
    <t>&gt; 15.000.0000</t>
  </si>
  <si>
    <t>§ 9 UVgO: Öffentliche Ausschreibung</t>
  </si>
  <si>
    <t/>
  </si>
  <si>
    <t>§ 10 UVgO: Beschränkte Ausschreibung mit Teilnahmewettbewerb</t>
  </si>
  <si>
    <t>§ 11 UVgO: Beschränkte Ausschreibung ohne Teilnahmewettbewerb</t>
  </si>
  <si>
    <t>§ 12 UVgO: Verhandlungsvergabe mit Teilnahmewettbewerb</t>
  </si>
  <si>
    <t>§ 12 UVgO: Verhandlungsvergabe ohne Teilnahmewettbewerb</t>
  </si>
  <si>
    <t>VOB/A und VOL/A: Freihändige Vergabe mit Teilnahmewettbewerb</t>
  </si>
  <si>
    <t>VOB/A und VOL/A: Freihändige Vergabe ohne Teilnahmewettbewerb</t>
  </si>
  <si>
    <t>I.1.3</t>
  </si>
  <si>
    <t>I.1.4</t>
  </si>
  <si>
    <t>I.1.5</t>
  </si>
  <si>
    <t>I.1.6</t>
  </si>
  <si>
    <t>I.1.2</t>
  </si>
  <si>
    <t>Anleitung</t>
  </si>
  <si>
    <t>Sehr geehrte/r Bieter/in,
die Bewertungsmatrix soll dazu dienen Ihre Bewerbung auf o.g. Ausschreibung / Vergabeverfahren zu vereinheitlichen und zu vereinfachen. Die Datei besteht im Wesentlichen aus folgenenden Bestandteilen: Leistungsverzeichnis, Preisblatt und Methodik der Zuschlagserteilung. Weitere Hinweise und Details sind unten aufgelistet.</t>
  </si>
  <si>
    <r>
      <t xml:space="preserve">Die Felder, die von Ihnen mit Angaben zu befüllen sind, sind </t>
    </r>
    <r>
      <rPr>
        <sz val="9"/>
        <color rgb="FF4FFF5A"/>
        <rFont val="Trebuchet MS"/>
        <family val="2"/>
      </rPr>
      <t>hellgrün</t>
    </r>
    <r>
      <rPr>
        <sz val="9"/>
        <rFont val="Trebuchet MS"/>
        <family val="2"/>
      </rPr>
      <t xml:space="preserve"> umrandet. Diese Felder können entweder Freitextfelder sein oder Auswahllisten (Drop-down-Menüs).</t>
    </r>
  </si>
  <si>
    <t>Inhalt</t>
  </si>
  <si>
    <t>Hinweis</t>
  </si>
  <si>
    <t>Allg. Bieterangaben</t>
  </si>
  <si>
    <t>Bieterdaten</t>
  </si>
  <si>
    <t>Leistungsverzeichnis:</t>
  </si>
  <si>
    <t>KHZG-Kriterien</t>
  </si>
  <si>
    <t>Generelle Anforderungen</t>
  </si>
  <si>
    <t>Basisfunktionalitäten</t>
  </si>
  <si>
    <t xml:space="preserve">Basisanforderungen </t>
  </si>
  <si>
    <t>Funktionale Anforderungen</t>
  </si>
  <si>
    <t>Datenschutz und Informationssicherheit</t>
  </si>
  <si>
    <t>Rechte und Rollen</t>
  </si>
  <si>
    <t>Konzepte</t>
  </si>
  <si>
    <t>Bieterpräsentation</t>
  </si>
  <si>
    <t>Preisblatt</t>
  </si>
  <si>
    <t>Auswertung</t>
  </si>
  <si>
    <t>Auswertung Ihrer Angaben sowie Beschreibung der Bewertungsmethode</t>
  </si>
  <si>
    <t>Hinweise zur Angabe der qualitativen Leistungen</t>
  </si>
  <si>
    <t>Info-Feld</t>
  </si>
  <si>
    <t>Auf jedem Blatt befindet sich im oberen Bereich ein Info-Feld. Hier erhalten Sie u.a. Informationen darüber, zu wievielen Kriterien Sie noch keine Angaben gemacht haben, wie viel Punkte Sie erreicht haben oder ob Ihr Angebot ausgeschlossen wird, weil Sie ein A-Kriterium nicht erfüllen.</t>
  </si>
  <si>
    <t>Spalte "Anforderung"</t>
  </si>
  <si>
    <t>Formulierung der Anforderung an die Leistung.</t>
  </si>
  <si>
    <t>Spalte "Ziffer"</t>
  </si>
  <si>
    <t>Ziffer der Anforderung</t>
  </si>
  <si>
    <t>Spalte "Typ"</t>
  </si>
  <si>
    <t>Alle Anforderungen sind sind entweder als A-Kriterium oder B-Kriterium klassifiziert.</t>
  </si>
  <si>
    <t>A-Kriterien</t>
  </si>
  <si>
    <t>Auch Ausschlusskriterien genannt. Diese Kriterien müssen erfüllt werden, d.h. bei Nichterfüllung erfolgt der Ausschluss des Angebotes.</t>
  </si>
  <si>
    <t>B-Kriterien</t>
  </si>
  <si>
    <r>
      <t xml:space="preserve">Auch Bewertungskriterien genannt. Für die Erfüllung des Kriteriums werden Punkte vergeben. Für Kriterien die erfüllt werden sollen, gibt es 5 Punkt bei Erfüllung bzw. 0 Punkte bei bei Nichterfüllung. Für Kriterien, die erfüllt werden können gibt es 1 Punkt bei Erfüllung bzw. 0 Punkte bei Nichterfüllung. Jeweils gilt, dass bei Nichterfüllung </t>
    </r>
    <r>
      <rPr>
        <i/>
        <u/>
        <sz val="9"/>
        <color theme="1"/>
        <rFont val="Trebuchet MS"/>
        <family val="2"/>
      </rPr>
      <t>kein</t>
    </r>
    <r>
      <rPr>
        <i/>
        <sz val="9"/>
        <color theme="1"/>
        <rFont val="Trebuchet MS"/>
        <family val="2"/>
      </rPr>
      <t xml:space="preserve"> der Ausschluss des Angebotes erfolgt.</t>
    </r>
  </si>
  <si>
    <t>Spalte "Nachweisform"</t>
  </si>
  <si>
    <t>Falls die Erfüllung/Beantwortung der Anforderung einer Nachweisform bedarf, ist dies in der Spalte "Nachweisform" angegeben.</t>
  </si>
  <si>
    <t>Spalte "auszufüllen von …"</t>
  </si>
  <si>
    <t>Hier wird angeben, ob die Benatwortung der Anforderung von der Bieter/in zu erfolgen hat oder der Auftraggeberin. Bitte machen Sie zu allen Anforderungen Angaben, die von der Bieter/in auszufüllen sind.</t>
  </si>
  <si>
    <t>Spalte "Angabe"</t>
  </si>
  <si>
    <t>Bitte verwenden Sie das Auswahlmenü für Ihr Angabe.</t>
  </si>
  <si>
    <t>Spalte "Kommentar"</t>
  </si>
  <si>
    <t>Dieses Feld ist optional zu befüllen und wird nicht für die Bewertung des Kriteriums berücksichtigt.</t>
  </si>
  <si>
    <t>Spalte "Gewichtung"</t>
  </si>
  <si>
    <t>Gewicht des Kriteriums, mit dem dieses in die Gesamtwertung der Leistungskomponente einfließt.</t>
  </si>
  <si>
    <t>Spalte "Check"</t>
  </si>
  <si>
    <t>Kurzauswertung der einzelnen Anforderungen mittels Ampel-/Text-Systems.</t>
  </si>
  <si>
    <t>Ausschreibende Stelle</t>
  </si>
  <si>
    <t>Unternehmen:</t>
  </si>
  <si>
    <t>Universitätsklinikum Carl Gustav Carus der TU Dresden; Anstalt des öffentlichen Rechts des Freistaats Sachsen</t>
  </si>
  <si>
    <t>Anschrift:</t>
  </si>
  <si>
    <t>Fetscherstraße 74, 01307 Dresden</t>
  </si>
  <si>
    <t>E-Mail-Adresse:</t>
  </si>
  <si>
    <t>Vergabeverfahren</t>
  </si>
  <si>
    <t>Kennzeichen:</t>
  </si>
  <si>
    <t>Bezeichnung:</t>
  </si>
  <si>
    <t>Entlassmanagement: Digitales Entlass- und Überleitungsmanagement</t>
  </si>
  <si>
    <t>Verfahrensart:</t>
  </si>
  <si>
    <t>Bieter/in: Unternehmen</t>
  </si>
  <si>
    <t>Name:</t>
  </si>
  <si>
    <t>Straße, Hausnummer:</t>
  </si>
  <si>
    <t>PLZ Ort:</t>
  </si>
  <si>
    <t>Bieter/in: Ansprechpartner*in</t>
  </si>
  <si>
    <t>E-Mail:</t>
  </si>
  <si>
    <t>Telefon:</t>
  </si>
  <si>
    <t>Werte</t>
  </si>
  <si>
    <t>Info:</t>
  </si>
  <si>
    <t>Hilfsspalten</t>
  </si>
  <si>
    <t>Typ</t>
  </si>
  <si>
    <t>Ziffer</t>
  </si>
  <si>
    <t>Anforderung</t>
  </si>
  <si>
    <t>Nachweisform</t>
  </si>
  <si>
    <r>
      <t xml:space="preserve">Kommentar
</t>
    </r>
    <r>
      <rPr>
        <i/>
        <sz val="9"/>
        <color theme="0"/>
        <rFont val="Trebuchet MS"/>
        <family val="2"/>
      </rPr>
      <t>(optional, bei Bewertung durch Auftraggeber/in bitte Bewertung begründen)</t>
    </r>
  </si>
  <si>
    <t>Gewichtung</t>
  </si>
  <si>
    <t>max. erreichbare Punktzahl</t>
  </si>
  <si>
    <t>ereichte Punktzahl</t>
  </si>
  <si>
    <t>Punktzahl gewichtet</t>
  </si>
  <si>
    <t>Check</t>
  </si>
  <si>
    <t>offen</t>
  </si>
  <si>
    <t>nok</t>
  </si>
  <si>
    <t>01/10</t>
  </si>
  <si>
    <t xml:space="preserve">(10) Entlassmanagement - KHZG Muss-Kriterien </t>
  </si>
  <si>
    <t>01/10-001</t>
  </si>
  <si>
    <t>Einen strukturierten Datenaustausch zwischen Leistungserbringern und die Bereitstellung von Dokumenten auf Basis anerkannter Standards an nachgelagerte Leistungserbringer (z. B. bzgl. der Medikamenteneinnahmen, Hinweisen zur Ernährung, Einschränkungen der körperlichen Belastbarkeit, notwendigen Kontrolluntersuchungen, Ansprechpartner bei Komplikationen oder pflegerischen Fragen etc.) ermöglichen.</t>
  </si>
  <si>
    <t>01/10-002</t>
  </si>
  <si>
    <t>Es den Mitarbeiterinnen und Mitarbeitern ermöglichen, auf Basis einer digitalen Plattform innerhalb eines Netzwerkes von ambulanten und stationären Pflege- oder Rehabilitationsanbietern den Versorgungsbedarf ihrer Patientinnen und Patienten melden zu können und mit Hilfe der digitalen Plattform innerhalb eines Netzwerkes zeitnah Rückmeldung hinsichtlich passender freier Kapazitäten zu erhalten.</t>
  </si>
  <si>
    <t>01/10-003</t>
  </si>
  <si>
    <t>Die Speicherung von Daten der Patientinnen und Patienten in deren elektronischer Patientenakte nach § 341 SGB V ermöglichen sowie (auf Wunsch des Patienten und/oder berechtigten Angehörigen) auch in anderen digitalen Akten bereitgestellt werden können.</t>
  </si>
  <si>
    <t>01/20</t>
  </si>
  <si>
    <t xml:space="preserve">(20) Entlassmanagementt - KHZG Kann-Kriterien </t>
  </si>
  <si>
    <t>01/20-001</t>
  </si>
  <si>
    <t>Es den Mitarbeiterinnen und Mitarbeitern der Klinik ermöglichen, mittels KI-Technologien das optimale Entlassdatum unter Berücksichtigung aller vorliegenden relevanten Patientendaten zu ermitteln.</t>
  </si>
  <si>
    <t>01/20-002</t>
  </si>
  <si>
    <t>Es den Mitarbeiterinnen und Mitarbeitern ermöglichen, die Daten der Patientinnen und Patienten, generiert durch (sensorbasierte) Wearables, Smart Devices oder Apps auf mobilen Endgeräten, in strukturierter Form abrufen zu können und an die nachgelagerten Leistungserbringer zu übermitteln bzw. den Zugriff z. B. auf existierende Patientendaten/Dokumente im Rahmen einer temporären Patientenbewilligung (Consent) zu ermöglichen.</t>
  </si>
  <si>
    <t>01/20-003</t>
  </si>
  <si>
    <t>Es den Mitarbeiterinnen und Mitarbeitern des Krankenhauses (oder des Sozialdienstes) ermöglichen, Angehörige der Patientinnen und Patienten in die Planung von Entlass- und Überleitungsmanagement einzubeziehen</t>
  </si>
  <si>
    <t>01/30</t>
  </si>
  <si>
    <t>(30) Fördermittelrichtlinie; Vorgaben des § 19 Abs. 2 KHSFV</t>
  </si>
  <si>
    <t>01/30-001</t>
  </si>
  <si>
    <t>Beim Austausch medizinischer Daten werden die vorhandenen international anerkannten technischen, syntaktischen und semantischen Standards – soweit verfügbar – zur Herstellung einer durchgehenden einrichtungsinternen und einrichtungsexternen Interoperabilität digitaler Dienste verwendet.</t>
  </si>
  <si>
    <t>01/30-002</t>
  </si>
  <si>
    <t>Die Vorgaben zur Interoperabilität, die sich aus den Anforderungen an Schnittstellen in informationstechnischen Systemen nach dem Fünften Buch Sozialgesetzbuch ergeben, werden berücksichtigt.</t>
  </si>
  <si>
    <t>01/30-003</t>
  </si>
  <si>
    <t>Generierte, für Patienten und Patienten relevante Dokumente und Daten sind in die elektronische Patientenakte nach § 341 SGB V übertragbar.</t>
  </si>
  <si>
    <t>01/30-004</t>
  </si>
  <si>
    <t>Maßnahmen zur Gewährleistung der Informationssicherheit nach dem jeweiligen Stand der Technik werden durchgehend berücksichtigt.</t>
  </si>
  <si>
    <t>01/30-005</t>
  </si>
  <si>
    <t>Datenschutzrechtliche Vorschriften werden eingehalten.</t>
  </si>
  <si>
    <t>02/10</t>
  </si>
  <si>
    <t>(10) Grundlegende Anforderungen</t>
  </si>
  <si>
    <t>02/10-001</t>
  </si>
  <si>
    <t>Es werden die notwendigen Dokumente und Informationen zur Verfügung gestellt, damit der Auftraggeber ein Risokomanagement nach IEC 80001 durchführen kann.</t>
  </si>
  <si>
    <t>entsprechendes 
Zertifikat</t>
  </si>
  <si>
    <t>02/10-002</t>
  </si>
  <si>
    <t>Im Rahmen des Projektes werden die Einstellungen für die generellen Funktionalitäten BSI/ISO 27001-konform und in Abstimmung mit dem AN vorgenommen.</t>
  </si>
  <si>
    <t>02/10-003</t>
  </si>
  <si>
    <t>Dokumentation, Benutzerhandbücher, Schulungsunterlagen, etc. sind in deutscher Sprache verfasst.</t>
  </si>
  <si>
    <t>02/10-004</t>
  </si>
  <si>
    <t>Grundsätzliche Mandantenfähigkeit - die Mandanten abhängigen Daten, Datenpräsentationen werden für jeden Mandanten individuell geregelt.</t>
  </si>
  <si>
    <t>02/10-005</t>
  </si>
  <si>
    <t>Ein Datenaustausch zwischen den Mandanten ist möglich.</t>
  </si>
  <si>
    <t>02/10-006</t>
  </si>
  <si>
    <t>Das System ist in mehrere KIS-Systeme integrierbar.</t>
  </si>
  <si>
    <t>02/10-007</t>
  </si>
  <si>
    <t>Patientendaten (außer Stammdaten) werden verschlüsselt.</t>
  </si>
  <si>
    <t>02/10-008</t>
  </si>
  <si>
    <t>Die angebotenen Systeme des AN bieten alle erforderlichen Konfigurationsoptionen um die Anforderungen der ISO 27001 / des B3S abbilden zu können.</t>
  </si>
  <si>
    <t>02/10-009</t>
  </si>
  <si>
    <t>Konformität nach EN ISO 9241 ist gegeben.</t>
  </si>
  <si>
    <t>02/10-010</t>
  </si>
  <si>
    <t xml:space="preserve">Die Softwarelösung erfüllt die Anforderungen des BSI Cloud Computing Compliance Criteria Catalogue (kurz: BSI C5). </t>
  </si>
  <si>
    <t xml:space="preserve">Testat nach § 393 Abs. 3 Nr. 2 SGB V </t>
  </si>
  <si>
    <t>02/10-011</t>
  </si>
  <si>
    <t>Die Einhaltung der Anforderungen gemäß EU-DSGVO und dem BDSG wird gewährleistet.</t>
  </si>
  <si>
    <t>02/10-012</t>
  </si>
  <si>
    <t>Der Austausch von Patient:innendaten erfolgt per FHIR.</t>
  </si>
  <si>
    <t>Nachweis Umsetzung 
mit welchen System und Nennung konkrete:r Anpsrechpartner:in (Haus, Systemherstellerin)</t>
  </si>
  <si>
    <t>02/10-013</t>
  </si>
  <si>
    <t>Dokumentation bei Updates/Upgrades und den damit einhergehenden Risiken bei der Implementierung sowie den sich damit ändernden Risiken bei der Anwendung des Systems wird dem Auftraggeber zur Verfügung gestellt.</t>
  </si>
  <si>
    <t>02/10-014</t>
  </si>
  <si>
    <t>Checkliste mit durchzuführenden Funktionsprüfungen und Messungen vor der Scharfschaltung von Updates/Upgrades wird dem Auftraggeber zur Verfügung gestellt.</t>
  </si>
  <si>
    <t>02/10-015</t>
  </si>
  <si>
    <t>02/10-016</t>
  </si>
  <si>
    <t>Diese Standorte sind zertifiziert nach BSI Cloud Computing Compliance Criteria Catalogue (kurz: BSI C5).</t>
  </si>
  <si>
    <t>C5-Zertifikat der RZ/Standorte</t>
  </si>
  <si>
    <t>02/10-017</t>
  </si>
  <si>
    <t>Die Plattform wird in zwei externen Rechenzentren betrieben und ist ein Teil des Angebots. Der AN stellt die Applikation bereit und übernimmt das Hosting.</t>
  </si>
  <si>
    <t>03/10</t>
  </si>
  <si>
    <t>(10) Generelle Vorgaben an die Systemumgebung</t>
  </si>
  <si>
    <t>03/10-001</t>
  </si>
  <si>
    <t>Die Lösung stellt keine Systemvoraussetzung an den Einsatz einer bestimmten Serverhardware (Hardwareunabhängigkeit).</t>
  </si>
  <si>
    <t>03/10-002</t>
  </si>
  <si>
    <t>Das System folgt der Client-/Server Architektur.</t>
  </si>
  <si>
    <t>03/10-003</t>
  </si>
  <si>
    <t>Es gibt einen Client, der auf HTML5-Architektur basiert und über den Browser MS Edge aufgerufen werden kann.</t>
  </si>
  <si>
    <t>03/10-004</t>
  </si>
  <si>
    <t>Server Betriebssystem Windows 2019.</t>
  </si>
  <si>
    <t>03/10-005</t>
  </si>
  <si>
    <t>Client Betriebssystem Win 10 oder höher.</t>
  </si>
  <si>
    <t>03/10-006</t>
  </si>
  <si>
    <t>Das System ist kompatibel zu MS-Office (Excel / Word), Version 2016 und höher.</t>
  </si>
  <si>
    <t>03/10-007</t>
  </si>
  <si>
    <t>Unterstützung von Microsoft Office 365 ab 2026.</t>
  </si>
  <si>
    <t>03/10-008</t>
  </si>
  <si>
    <t>Lauffähigkeit der Clients unter den aktuellen Versionen von Parallels Client ab Version 19 und höher.</t>
  </si>
  <si>
    <t>03/10-009</t>
  </si>
  <si>
    <t>Lauffähigkeit des Gesamtsystems unter VMware vSphere Hypervisor, Version 8.x mit vSAN-Storage.</t>
  </si>
  <si>
    <t>03/10-010</t>
  </si>
  <si>
    <t>Es ist möglich das System mit einer SQL-Datenbank zu betreiben.</t>
  </si>
  <si>
    <t>Das System ist kompatibel zum Browser:</t>
  </si>
  <si>
    <t>03/10-011.01</t>
  </si>
  <si>
    <t>MS Edge in aktueller Version</t>
  </si>
  <si>
    <t>bitte Version benennen, falls abweichend von aktueller Version</t>
  </si>
  <si>
    <t>03/10-011.02</t>
  </si>
  <si>
    <t>Google Chrome in aktueller Version</t>
  </si>
  <si>
    <t>03/10-011.03</t>
  </si>
  <si>
    <t>Safari in aktueller Version</t>
  </si>
  <si>
    <t>03/10-011.04</t>
  </si>
  <si>
    <t>Firefox in aktueller Version</t>
  </si>
  <si>
    <t>03/10-012</t>
  </si>
  <si>
    <t xml:space="preserve">Der Browser-Client benötigt kein Java, kein Flash, kein ActiveX.  </t>
  </si>
  <si>
    <t>falls abweichend, bitte unter Bemerkungen beschreiben</t>
  </si>
  <si>
    <t>03/10-013</t>
  </si>
  <si>
    <t>Die Lösung unterstützt mobile Clients.</t>
  </si>
  <si>
    <t>03/20</t>
  </si>
  <si>
    <t>(20) Administration des Systems</t>
  </si>
  <si>
    <t>03/20-001</t>
  </si>
  <si>
    <t xml:space="preserve">Das System ist mandantenfähig, getrennte Geschäfts-/ Datenschutzbereiche. </t>
  </si>
  <si>
    <t>03/20-002</t>
  </si>
  <si>
    <t>Möglichkeit der Definition von Sichten über mehrere Mandanten.</t>
  </si>
  <si>
    <t>03/20-003</t>
  </si>
  <si>
    <t>Rollen- und Rechtekonzept ohne Redundanzen in der Benutzeranlage.</t>
  </si>
  <si>
    <t>03/20-004</t>
  </si>
  <si>
    <t>Protokollierung / Journalisierung berechtigte Benutzerzugriffe / unberechtigte Benutzerzugriffsversuche und Exports.</t>
  </si>
  <si>
    <t>03/20-005</t>
  </si>
  <si>
    <t>Einbindung in eine Microsoft AD-Umgebung (Single-Sign-On ist möglich).</t>
  </si>
  <si>
    <t>03/20-006</t>
  </si>
  <si>
    <t>Filterfunktionen unter Berücksichtigung von Benutzerrechten (Dokumente oder Folder für die keine Berechtigung existiert, werden nicht angezeigt).</t>
  </si>
  <si>
    <t>03/30</t>
  </si>
  <si>
    <t>(30) Rechte- und Rollenkonzept</t>
  </si>
  <si>
    <t>03/30-001</t>
  </si>
  <si>
    <t>Die angebotene Lösung unterstützt ein modulübergreifendes Zugriffs- und Berechtigungsmanagement.</t>
  </si>
  <si>
    <t>03/30-002</t>
  </si>
  <si>
    <t>Die Konfiguration der Zugriffsrechte für Mitarbeitende ist mittels Active Directory / LDAP/S Daten möglich.</t>
  </si>
  <si>
    <t xml:space="preserve">Das Rechte- und Rollenkonzept realisiert mind. folgende Rollen nach Vorgabe der Auftraggeberin: </t>
  </si>
  <si>
    <t>03/30-003.01</t>
  </si>
  <si>
    <t>Case Management</t>
  </si>
  <si>
    <t>03/30-003.02</t>
  </si>
  <si>
    <t>Sozialdienst</t>
  </si>
  <si>
    <t>03/30-003.03</t>
  </si>
  <si>
    <t>Nachversorgende</t>
  </si>
  <si>
    <t>03/30-003.04</t>
  </si>
  <si>
    <t>Kostenträger</t>
  </si>
  <si>
    <t>03/30-003.05</t>
  </si>
  <si>
    <t>Mitarbeitende des Datenschutzes (betriebliche/r Datenschutzbeauftragte/r)</t>
  </si>
  <si>
    <t>03/30-003.06</t>
  </si>
  <si>
    <t>Analyst / Analystin (Reporting)</t>
  </si>
  <si>
    <t>03/30-004</t>
  </si>
  <si>
    <t>Es ist möglich, dass das Rechte- und Rollenkonzept auf Wunsch der Auftraggeberin weitere von der Auftraggeberin definierte Rollen realisiert.</t>
  </si>
  <si>
    <t>03/30-005</t>
  </si>
  <si>
    <t>Mitarbeitende des Datenschutzes ist es möglich in einer einfachen und lesbaren Form abzurufen und als PDF zu exportieren, wer wann auf welche Daten zugegriffen hat und und wer wann welche Daten heruntergeladen hat.</t>
  </si>
  <si>
    <t>03/30-006</t>
  </si>
  <si>
    <t>Benutzerrechte werden auf Basis von Benutzerprofilen und -gruppen vergeben.</t>
  </si>
  <si>
    <t>03/30-007</t>
  </si>
  <si>
    <t>Administratoren ist es möglich Benutzerrechte manuell für alle Prozessbeteiligten zu vergeben/zuzuweisen/festzulegen.</t>
  </si>
  <si>
    <t>03/30-008</t>
  </si>
  <si>
    <t>Einsicht für Nachversorgende ist nur mit Einwilligung der Patient:innen möglich.</t>
  </si>
  <si>
    <t>03/40</t>
  </si>
  <si>
    <t>(40) Ergonomie</t>
  </si>
  <si>
    <t>03/40-001</t>
  </si>
  <si>
    <t>Die Systemoberfläche für alle einbezogenen Funktionsbereiche ist einheitlich.</t>
  </si>
  <si>
    <t>03/40-002</t>
  </si>
  <si>
    <t>Alle Dialoge sind in deutscher Sprache ausgelegt.</t>
  </si>
  <si>
    <t>03/40-003</t>
  </si>
  <si>
    <t>Die Benutzerführung und das Maskenerscheinungsbild sind einheitlich, auch bei unterschiedlichen Arbeitsplätzen mit unterschiedlicher Zugriffsberechtigung.</t>
  </si>
  <si>
    <t>03/40-004</t>
  </si>
  <si>
    <t>Es werden Shortcuts (Tastenkombinationen) für Funktionen zur Verfügung gestellt.</t>
  </si>
  <si>
    <t>03/40-005</t>
  </si>
  <si>
    <t>Es besteht die Möglichkeit zwischen Menüsteuerung und dem Aufruf von wichtigen Transaktionen über Shortcuts zu wechseln.</t>
  </si>
  <si>
    <t>03/40-006</t>
  </si>
  <si>
    <t>Das Systemantwortverhalten ist durchgängig gleich gehalten.</t>
  </si>
  <si>
    <t>03/40-007</t>
  </si>
  <si>
    <t>Es besteht die Möglichkeit zur Individualisierung von Abfragen in allen Modulen.</t>
  </si>
  <si>
    <t>03/40-008</t>
  </si>
  <si>
    <t>Die individuelle Layoutgestaltung /-anpassung ist für den Endbenutzer möglich.</t>
  </si>
  <si>
    <t>03/40-009</t>
  </si>
  <si>
    <t>Der Systemstatus ist in allen Auswertungsteilen mit längeren Verarbeitungszeiten vom Benutzer erkennbar (z.B. Sanduhr).</t>
  </si>
  <si>
    <t>03/40-010</t>
  </si>
  <si>
    <t>Der Verarbeitungsstatus ist als Fortschrittsanzeige eingeblendet.</t>
  </si>
  <si>
    <t>03/40-011</t>
  </si>
  <si>
    <t>Es gibt ein Online Benutzer-Handbuch in deutscher Sprache.</t>
  </si>
  <si>
    <t>03/40-012</t>
  </si>
  <si>
    <t>Es ist eine kontextbezogene Hilfefunktion integriert.</t>
  </si>
  <si>
    <t>03/40-013</t>
  </si>
  <si>
    <t>Oberfläche ist skaliert und passt sich automatisch an die Bildschirmgröße des Gerätes (auch mobiles) an.</t>
  </si>
  <si>
    <t>03/40-014</t>
  </si>
  <si>
    <t>Der Maskenwechsel in der Anwendung dauert nicht länger als 1 Sekunde.</t>
  </si>
  <si>
    <t>03/50</t>
  </si>
  <si>
    <t>(50) Wartung und Pflege</t>
  </si>
  <si>
    <t>03/50-001</t>
  </si>
  <si>
    <t>Die Anpassung an gesetzliche Änderungen und die Umsetzung neuer Gesetze sowie daraus neu resultierende Plausibilitäten ist im Umfang der Systemwartung und -pflege durch den Anbieter ohne Mehrkosten enthalten. Die Änderungen und Anpassungen werden zeitnah nach Bekanntgabe und vor Beginn der Gültigkeit getestet, ausgeliefert und implementiert.</t>
  </si>
  <si>
    <t>03/50-002</t>
  </si>
  <si>
    <t>Der Anbieter sichert zu, dass neue Systemversionen bei gleichem Funktionsumfang kostenneural umgesetzt werden.</t>
  </si>
  <si>
    <t>03/50-003</t>
  </si>
  <si>
    <t>Geplante Ausfallzeiten z.B. im Rahmen von Updates und Releases, werden 7 Tage vorher angekündigt und erfolgen außerhalb der klassischen Sprechzeiten (7:30 Uhr - 17:30 Uhr).</t>
  </si>
  <si>
    <t>03/50-004</t>
  </si>
  <si>
    <t>Eine Online-Fernwartung ist gegeben und im Service enthalten. Der Hersteller setzt dabei die von der Auftraggeberin vorgegebene Fernwartungsinfrastruktur ein.</t>
  </si>
  <si>
    <t>03/50-005</t>
  </si>
  <si>
    <t>Die wesentlichen Betriebsparameter zu Verfügbarkeit, Tickethandling und Security-Updates werden in einem monatlichen zusammenfassenden Report der Auftraggeberin vorgelegt.</t>
  </si>
  <si>
    <t>03/50-006</t>
  </si>
  <si>
    <t>Automatischer Deployment-Vorgang zwischen den Systemumgebungen wird unterstützt.</t>
  </si>
  <si>
    <t>03/60</t>
  </si>
  <si>
    <t>(60) Systemdokumentation</t>
  </si>
  <si>
    <t>03/60-001</t>
  </si>
  <si>
    <t>Mit Abnahme des Systems wird eine vollständige und lückenlose Dokumentation über die Parameter der Serverkonfiguration übergeben.</t>
  </si>
  <si>
    <t>03/60-002</t>
  </si>
  <si>
    <t>Mit Abnahme des Systems wird eine vollständige und lückenlose Dokumentation über die Parameter der Applikationseinstellung übergeben.</t>
  </si>
  <si>
    <t>03/60-003</t>
  </si>
  <si>
    <t>Mit Abnahme des Systems wird eine Bedienungs- und Verfahrensanleitung für die wesentlichen administrativen Prozesse zur Verfügung gestellt.</t>
  </si>
  <si>
    <t>03/60-004</t>
  </si>
  <si>
    <t>Eine Beschreibung der erforderlichen Schnittstellen und Drittprodukte liegt dem Angebot bei.</t>
  </si>
  <si>
    <t>03/70</t>
  </si>
  <si>
    <t>(70) Software</t>
  </si>
  <si>
    <t>03/70-001</t>
  </si>
  <si>
    <t>Eine Oberfläche für die Administration von Nutzer-, Nutzergruppen-, Rechte- und Rollenverwaltung ist vorhanden.</t>
  </si>
  <si>
    <t>03/70-002</t>
  </si>
  <si>
    <t>Strukturierung der Berechtigungen: Die Berechtigungen für Mitarbeiter und Anwendungen werden in einem zentralen Rollenverzeichnis klar und präzise strukturiert. Anstelle einer manuellen Zuweisung individueller Rechte, ist es möglich zentrale Rollen zu definieren. Dabei ist es möglich, dass einem Anwendungsfall (Mitarbeiter und Anwendungen) eine oder mehrere Rollen zugewiesen werden.</t>
  </si>
  <si>
    <t>03/70-003</t>
  </si>
  <si>
    <t xml:space="preserve">Dynamische Anpassung von Berechtigungen: Grundsätzlich ist es möglich, die Berechtigungen einer Rolle dynamisch anzupassen und sie je nach Bedarf zu ändern. </t>
  </si>
  <si>
    <t>03/70-004</t>
  </si>
  <si>
    <t>Vollständiges Duplizieren und Löschen von Nutzern und Nutzergruppen.</t>
  </si>
  <si>
    <t>03/70-005</t>
  </si>
  <si>
    <t>Individualisierbare Einstellungen pro Mandant hinterlegen (Einstellung der Personenidentifizierungen, Masterpersonenindex).</t>
  </si>
  <si>
    <t>03/70-006</t>
  </si>
  <si>
    <t>Die Benutzeroberfläche und die Handbücher sind in deutscher Sprache verfügbar.</t>
  </si>
  <si>
    <t>03/70-007</t>
  </si>
  <si>
    <t xml:space="preserve">Die Administrationsoberfläche in deutscher Sprache verfügbar. </t>
  </si>
  <si>
    <t>03/70-008</t>
  </si>
  <si>
    <t>Ein Hochkontrastmodus wird unterstützt.</t>
  </si>
  <si>
    <t>03/70-009</t>
  </si>
  <si>
    <t>Die Konfiguration von Schriften (Größe) und Farben ist möglich.</t>
  </si>
  <si>
    <t>03/70-010</t>
  </si>
  <si>
    <t xml:space="preserve">Beachtung der ISO 9241 zu Vorgaben zur Schaffung nutzerfreundlicher Systeme, einschließlich Faktoren wie Gebrauchstauglichkeit und Nutzererlebnis. </t>
  </si>
  <si>
    <t>03/70-011</t>
  </si>
  <si>
    <t>Individuelle Anpassungsmöglichkeiten des User Interface nach den Präferenzen und Anforderungen der Nutzer.</t>
  </si>
  <si>
    <t>03/70-012</t>
  </si>
  <si>
    <t>Bereitstellung der Zusammenfassung von Neuerungen nach Versionsupdate (Releasenotes) in deutscher Sprache.</t>
  </si>
  <si>
    <t>03/70-013</t>
  </si>
  <si>
    <t>Der Auftragnehmer garantiert eine reibungslose Migration verschiedener Versionen seiner Software im Rahmen von Updates, Upgrades im Sinne von Versionswechseln, Wechseln von Betriebsarten (z.B. On Premise auf gehostetes System oder Cloud-Betrieb).</t>
  </si>
  <si>
    <t>03/70-014</t>
  </si>
  <si>
    <t>Der Auftragnehmer stellt aktuelle Benutzer- und Administrationshandbücher inkl. detaillierter Informationen über die Anwendung, Funktionen, Optionen, Einstellungen und Anwendungsbereiche in deutscher Sprache zur Verfügung.</t>
  </si>
  <si>
    <t>03/70-015</t>
  </si>
  <si>
    <t xml:space="preserve">Integrität: Das Datenmodell stellt die Integrität der Daten sicher, indem es gewährleistet, dass sämtliche Daten vollständig und fehlerfrei erfasst und gespeichert werden. Des Weiteren stellt es sicher, dass keine Daten verloren gehen oder beschädigt werden. </t>
  </si>
  <si>
    <t>03/70-016</t>
  </si>
  <si>
    <t>Flexibilität:Das Datenmodell ist anpassungsfähig, um zukünftige Anforderungen zu berücksichtigen. Es ist in der Lage sich reibungslos an die neuen Anforderungen anzupassen, ohne dabei die bestehenden Daten zu beeinträchtigen.</t>
  </si>
  <si>
    <t>03/70-017</t>
  </si>
  <si>
    <t xml:space="preserve">Transparenz: Das Datenmodell ist durchweg transparent und entspricht klaren, transparenten Standards. Dies bedeutet, dass die Datenstruktur, Definitionen und Regeln zur Datenerfassung und -darstellung klar und verständlich dokumentiert sind und zugänglich gemacht werden. Hinweis: Dies schafft die Möglichkeit, perspektivisch auch Drittanbietern die Entwicklung kompatibler Zusatzanwendungen und -module zu ermöglichen und diese beispielsweise über APIs zu integrieren. </t>
  </si>
  <si>
    <t>03/70-018</t>
  </si>
  <si>
    <t>Dokumentation: Für das Datenmodell ist eine verständliche und nachvollziehbare Dokumentation dem Auftragnehmer bereitzustellen. Alle Änderungen am Datenmodell werden ebenfalls dokumentiert und die Änderungen den  Auftragnehmer zur Verfügung gestellt.</t>
  </si>
  <si>
    <t>Funktionale Anforderung</t>
  </si>
  <si>
    <t>04/10</t>
  </si>
  <si>
    <t>(10) Anonyme Patientenprofile</t>
  </si>
  <si>
    <t>04/10-001</t>
  </si>
  <si>
    <t>Pseudonymisierte Patientenprofile sind ausschließlich durch dem Auftraggeber vorliegende Fallnummern identifizierbar.</t>
  </si>
  <si>
    <t>04/10-002</t>
  </si>
  <si>
    <t>Bei Anfragen der Klinik an nachgeordnete Therapie-Einrichtungen werden die Patientendaten pseudonymisiert.</t>
  </si>
  <si>
    <t>Es werden bei der Anfrage z.B. folgende Daten abgefragt:</t>
  </si>
  <si>
    <t>04/10-003.01</t>
  </si>
  <si>
    <t>Diagnosen</t>
  </si>
  <si>
    <t>04/10-003.02</t>
  </si>
  <si>
    <t>Pflegegrad</t>
  </si>
  <si>
    <t>04/10-003.03</t>
  </si>
  <si>
    <t>durchgeführte OPs und Therapien</t>
  </si>
  <si>
    <t>04/10-003.04</t>
  </si>
  <si>
    <t>Begleiterkrankungen, Allergien, Unverträglichkeiten</t>
  </si>
  <si>
    <t>04/10-003.05</t>
  </si>
  <si>
    <t>Entlassdaten</t>
  </si>
  <si>
    <t>04/10-003.06</t>
  </si>
  <si>
    <t>Überleitungsart</t>
  </si>
  <si>
    <t>04/10-003.07</t>
  </si>
  <si>
    <t>Hilfsmittel und Hilfsmittelnummer</t>
  </si>
  <si>
    <t>04/10-003.08</t>
  </si>
  <si>
    <t>Infektionsstatus und Keime</t>
  </si>
  <si>
    <t>04/10-003.09</t>
  </si>
  <si>
    <t>welche Vollmachten vorliegen</t>
  </si>
  <si>
    <t>04/10-003.10</t>
  </si>
  <si>
    <t>Einverständniserklärungen, die vorliegen</t>
  </si>
  <si>
    <t>04/10-003.11</t>
  </si>
  <si>
    <t>Assessments</t>
  </si>
  <si>
    <t>04/10-003.12</t>
  </si>
  <si>
    <t>Scores</t>
  </si>
  <si>
    <t>04/10-003.13</t>
  </si>
  <si>
    <t>Impfstatus</t>
  </si>
  <si>
    <t>04/10-003.14</t>
  </si>
  <si>
    <t>Freitext</t>
  </si>
  <si>
    <t>Es werden Dokumente zwischen Leistungserbringern übermittelt, dazu gehören z.B.</t>
  </si>
  <si>
    <t>04/10-004.01</t>
  </si>
  <si>
    <t>Befunde (Röntgen, Labor, etc)</t>
  </si>
  <si>
    <t>04/10-004.02</t>
  </si>
  <si>
    <t>Medikamenteneinnahmen</t>
  </si>
  <si>
    <t>04/10-004.03</t>
  </si>
  <si>
    <t>Hinweise zur Ernährung</t>
  </si>
  <si>
    <t>04/10-004.04</t>
  </si>
  <si>
    <t>Einschränkungen der körperlichen Belastbarkeit</t>
  </si>
  <si>
    <t>04/10-004.05</t>
  </si>
  <si>
    <t>notwendige Kontrolluntersuchungen</t>
  </si>
  <si>
    <t>04/10-004.06</t>
  </si>
  <si>
    <t>Ansprechpartner bei Komplikationen</t>
  </si>
  <si>
    <t>04/10-004.07</t>
  </si>
  <si>
    <t>pflegerische Fragen</t>
  </si>
  <si>
    <t>04/20</t>
  </si>
  <si>
    <t>(20) Versorgungsarten</t>
  </si>
  <si>
    <t>04/20-001</t>
  </si>
  <si>
    <t>Es gibt eine übersichtliche Auswahlmöglichkeit aller Versorgungsarten (z.B. Ambulante Pflege, Stationäre Pflege).</t>
  </si>
  <si>
    <t>04/30</t>
  </si>
  <si>
    <t>(30) Such- &amp; Filterfunktion</t>
  </si>
  <si>
    <t>04/30-001</t>
  </si>
  <si>
    <t>Die Plattform ermöglicht die Suche nach Pflegeüberleitungen.</t>
  </si>
  <si>
    <t>verfizierte Teststellung</t>
  </si>
  <si>
    <t>04/30-002</t>
  </si>
  <si>
    <t>Die Plattform ermöglicht die Suche nach Anschlussheilbehandlung.</t>
  </si>
  <si>
    <t>04/30-003</t>
  </si>
  <si>
    <t>Die Plattform ermöglicht die Suche nach (freien) Plätzen in anderen Einrichtungen für beliebige Fachabteilungen.</t>
  </si>
  <si>
    <t>04/30-004</t>
  </si>
  <si>
    <t>Die Suchfunktion der Plattform berücksichtigt alle relevanten Parameter wie geplantes Startdatum der Versorgung, Wahlleistung, Behandlungsdauer, Pflegegrad, Pflegebedarf etc..</t>
  </si>
  <si>
    <t>04/30-005</t>
  </si>
  <si>
    <t>Das Entlassmanagement filtert nach bestimmten Kriterien (besondere Einrichtungsmerkmale, etc.).</t>
  </si>
  <si>
    <t>04/30-006</t>
  </si>
  <si>
    <t>Laufende Überleitungssuchen sind jederzeit mit bestehenden Benutzer:innenprofilen anpassbar.</t>
  </si>
  <si>
    <t>04/30-007</t>
  </si>
  <si>
    <t>Es gibt eine Filterfunktion zur schnellen Personalisierung des Dashboards für den Anwender geben (z.B. nach Art der Überleitung oder nach Station).</t>
  </si>
  <si>
    <t>04/30-008</t>
  </si>
  <si>
    <t>Eine gleichzeitige Suche von verschiedenen Versorgungsarten/ für mehrere Versorgungsbereiche im einzigen Patietenprofil ist möglich.</t>
  </si>
  <si>
    <t>04/40</t>
  </si>
  <si>
    <t>(40) Kommunikation</t>
  </si>
  <si>
    <t>04/40-001</t>
  </si>
  <si>
    <t>Echtzeitbenachrichtigungen werden über eingehende Nachrichten bereitgestellt.</t>
  </si>
  <si>
    <t>04/40-002</t>
  </si>
  <si>
    <t>Alle Zu- und Absagen sind übersichtlich in einer Liste organisiert und dokumentiert (für MD-Prüfungen).</t>
  </si>
  <si>
    <t>04/40-003</t>
  </si>
  <si>
    <t>Innerhalb eines Netzwerkes von ambulanten und stationären Pflege- oder Rehabilitationsanbietern ist es Kliniken möglich den Versorgungsbedarf ihrer Patient:innen zu melden.</t>
  </si>
  <si>
    <t>04/40-004</t>
  </si>
  <si>
    <t>Sie erhalten über die digitale Plattform innerhalb eines Netzwerkes zeitnah Rückmeldung hinsichtlich passender freier Kapazitäten.</t>
  </si>
  <si>
    <t>04/40-005</t>
  </si>
  <si>
    <t>Versorgungssuchen nach Hilfsmittel und Home Care Leistungen sind über die Plattform gegeben.</t>
  </si>
  <si>
    <t>04/40-006</t>
  </si>
  <si>
    <t>Eine automatisierte MDK-relevante Dokumentation ist gegeben.</t>
  </si>
  <si>
    <t>04/40-007</t>
  </si>
  <si>
    <t>Es wird dokumentiert welche Nachversorger angefragt wurden.</t>
  </si>
  <si>
    <t>04/40-008</t>
  </si>
  <si>
    <t>Es wird dokumentiert welche Nachversorger abgesagt haben.</t>
  </si>
  <si>
    <t>04/40-009</t>
  </si>
  <si>
    <t>Es wird dokumentiert welcher Nachversorger beauftragt wurde.</t>
  </si>
  <si>
    <t>04/40-010</t>
  </si>
  <si>
    <t>Es gibt einen Algorithmus, der die Suchergebnisse ohne Wissen der Anwender bewertet und dementsprechend die Anfragen steuert.</t>
  </si>
  <si>
    <t>04/40-011</t>
  </si>
  <si>
    <t>Nachversorger nehmen kostenlos an der Plattform teil.</t>
  </si>
  <si>
    <t>04/40-012</t>
  </si>
  <si>
    <t>Die Plattform bietet eine transparente Übersicht darüber, warum gewisse Leistungserbringer der passenden Kategorie nicht angefragt wurden.</t>
  </si>
  <si>
    <t>04/40-013</t>
  </si>
  <si>
    <t>Die Plattform zeigt auf und dokumentiert, dass alle relevanten Leistungserbringer kontaktiert wurden und, dass aufgrund mangelnder Kapazitäten in der Umgebung kein geeigneter Anschlussversorger gefunden werden konnte.</t>
  </si>
  <si>
    <t>04/40-014</t>
  </si>
  <si>
    <t>Nach Auftragsbestätigung an einen Versorger sagt die Plattform automatisch allen anderen angefragten Versorgern ab.</t>
  </si>
  <si>
    <t>04/40-015</t>
  </si>
  <si>
    <t>Absagen durch Einrichtungen werden dokumentiert / protokolliert (z.B. als Liste).</t>
  </si>
  <si>
    <t>04/40-016</t>
  </si>
  <si>
    <t>Im Chat werden die Nachrichten zwischen Krankenhaus und Leistungserbringer mit einem Zeitstempel versehen.</t>
  </si>
  <si>
    <t>04/40-017</t>
  </si>
  <si>
    <t>Im Chat werden auch Dateien verschlüsselt und klassifiziert.</t>
  </si>
  <si>
    <t>04/40-018</t>
  </si>
  <si>
    <t>In der Rolle des nachgelagerte Leistungserbringer ist es möglich die Kapazitäten und das Leistungsspektrum in einer Weboberfläche anzupassen.</t>
  </si>
  <si>
    <t>04/40-019</t>
  </si>
  <si>
    <t>Es ist dem angefragten Nachversorger möglich Rückfragen zu stellen (z. B. zu Gewicht, Größe).</t>
  </si>
  <si>
    <t>04/50</t>
  </si>
  <si>
    <t>(50) Account-Nutzung</t>
  </si>
  <si>
    <t>04/50-001</t>
  </si>
  <si>
    <t>Es ist möglich das System wahlweise mit personengebundenen Accounts zu nutzen.</t>
  </si>
  <si>
    <t>04/50-002</t>
  </si>
  <si>
    <t>Es ist möglich, dass Anwender-Accounts selbständig vom Auftraggeber erstellt, bearbeitet oder gelöscht werden.</t>
  </si>
  <si>
    <t>04/60</t>
  </si>
  <si>
    <t>(60) Passwortverwaltung</t>
  </si>
  <si>
    <t>04/60-001</t>
  </si>
  <si>
    <t>Es besteht die Möglichkeit, Passwörter jederzeit zurückzusetzen.</t>
  </si>
  <si>
    <t>04/60-002</t>
  </si>
  <si>
    <t>Benutzerdaten werden geschützt abgelegt und Kennwörter werden niemals im Klartext angezeigt.</t>
  </si>
  <si>
    <t>04/60-003</t>
  </si>
  <si>
    <t>Eine Zwei-Faktor-Authentifizierung ist möglich.</t>
  </si>
  <si>
    <t>04/60-004</t>
  </si>
  <si>
    <t>Es ist möglich, selbstständig zentrale Passwortrichtlinien für alle Nutzer festzulegen.</t>
  </si>
  <si>
    <t>04/70</t>
  </si>
  <si>
    <t>(70) Datenübermittlung</t>
  </si>
  <si>
    <t>04/70-001</t>
  </si>
  <si>
    <t>Patientenbezogenene Informationen werden ausschließlich verschlüsselt übermittelt.</t>
  </si>
  <si>
    <t>04/70-002</t>
  </si>
  <si>
    <t>Der Plattformbetreiber hat technisch keine Möglichkeit bei der Übermittlung der Daten einen Personenbezug herzustellen.</t>
  </si>
  <si>
    <t>04/70-003</t>
  </si>
  <si>
    <t>Über das Entlassmanagement werden die erforderlichen Unterlagen an nachgelagerte Leistungserbringer automatisch versendet.</t>
  </si>
  <si>
    <t>04/70-004.01</t>
  </si>
  <si>
    <t>Befunde, (Arzt-)Briefe, Kontrolluntersuchungen, Hinweise zur Ernährung etc.</t>
  </si>
  <si>
    <t>04/70-004.02</t>
  </si>
  <si>
    <t>Medikamenteneinnahme über den Bundeseinheitlichen Medikationsplan</t>
  </si>
  <si>
    <t>04/70-005</t>
  </si>
  <si>
    <t>Es ist möglich, alle hochgeladenen und übermittelten Dateien zu einem Fall in einer zentralen Übersicht darzustellen.</t>
  </si>
  <si>
    <t>04/70-006</t>
  </si>
  <si>
    <t xml:space="preserve">Es ist möglich, übermittelte Dokumente zu löschen. </t>
  </si>
  <si>
    <t>Folgende Dateiformate werden unterstützt:</t>
  </si>
  <si>
    <t>04/70-007.01</t>
  </si>
  <si>
    <t>PDF, PDF/A</t>
  </si>
  <si>
    <t>04/70-007.02</t>
  </si>
  <si>
    <t>CSV</t>
  </si>
  <si>
    <t>04/70-007.03</t>
  </si>
  <si>
    <t>DOCX, DOC</t>
  </si>
  <si>
    <t>04/80</t>
  </si>
  <si>
    <t>(80) Funktionalitäten</t>
  </si>
  <si>
    <t>04/80-001</t>
  </si>
  <si>
    <t>Die eingesetzte Software funktioniert auch im Multi-User-Betrieb fehlerfrei.</t>
  </si>
  <si>
    <t>04/80-002</t>
  </si>
  <si>
    <t>TI-KIM wird zum Datenaustausch unterstützt.</t>
  </si>
  <si>
    <t>04/80-003</t>
  </si>
  <si>
    <t>Das Entlassmanagement-Modul ist in die Patientenportal-Lösung (Orchestra eHealth Suite OeHS) integrierbar und ermöglicht den Mitarbeitenden ein durchgängiges, prozessorientiertes Arbeiten.</t>
  </si>
  <si>
    <t>04/90</t>
  </si>
  <si>
    <t>(90) Dokumentation</t>
  </si>
  <si>
    <t>04/90-001</t>
  </si>
  <si>
    <t>Eine volle transparente Dokumentation der Überleitung ist zu jeder Zeit abrufbar.</t>
  </si>
  <si>
    <t>04/100</t>
  </si>
  <si>
    <t>(100) Wahlfreiheit des Patienten</t>
  </si>
  <si>
    <t>03/100-001</t>
  </si>
  <si>
    <t>Durch die manuelle Vorgabe des gewünschten Anbieters ist die Wahlfreiheit des Patienten gewährleistet.</t>
  </si>
  <si>
    <t>04/110</t>
  </si>
  <si>
    <t>(110) Kapazitätsübersicht</t>
  </si>
  <si>
    <t>04/110-001</t>
  </si>
  <si>
    <t>Die Anwendung gibt einen schnellen aktuellen Überblick über die Kapazitäten der relevanten Versorger an.</t>
  </si>
  <si>
    <t>04/110-002</t>
  </si>
  <si>
    <t>Freie Kapazitäten sind regional und überregional anfragbar und/oder einsehbar.</t>
  </si>
  <si>
    <t>04/120</t>
  </si>
  <si>
    <t>(120) Schnittstellen</t>
  </si>
  <si>
    <t>04/120-001</t>
  </si>
  <si>
    <t>Dokumente von Patient:innen aus dem Patientenportal (Orchestra eHealth Suite) sind ins Entlass-/Überleitungsmanagement übertragbar.</t>
  </si>
  <si>
    <t>04/120-002</t>
  </si>
  <si>
    <t>Der Patient wird eingebunden, indem er die relevanten Informationen über die mögliche
Folgeversorgung und ggf. den Bearbeitungsstand auf sein Smartphone/Tablet im Rahmen des
Patientenportal abrufen kann.</t>
  </si>
  <si>
    <t>04/120-003</t>
  </si>
  <si>
    <t>Schnittstelle zum Krankenhausinformationssystem (Dedalus Orbis-KIS) zur Datenübernahme und Vermeidung von Doppeleingaben.</t>
  </si>
  <si>
    <t>04/120-004</t>
  </si>
  <si>
    <t>Die vorhandene Schnittstelle zum KIS ermöglicht den Datenaustausch und das Hochladen von Dokumenten aus der KIS Patientenakte in das Entlassmanagmentsystem.</t>
  </si>
  <si>
    <t>04/120-005</t>
  </si>
  <si>
    <t>Die vorhandene Schnittstelle zum Patientenportal (Orchestra eHealth Suite) ermöglicht den Datenaustausch und das Hochladen von Dokumenten aus der KIS Patientenakte in das Entlassmanagmentsystem.</t>
  </si>
  <si>
    <t>04/120-006</t>
  </si>
  <si>
    <t>Schnittstelle zum Krankenhausinformationssystem (Dedalus Orbis-KIS) zur automatisierten Rückführung von Daten zur Weiterbehandlung.</t>
  </si>
  <si>
    <t>04/130</t>
  </si>
  <si>
    <t>(130) Nachversorger</t>
  </si>
  <si>
    <t>04/130-001</t>
  </si>
  <si>
    <t>Ein breites bereits bestehendes Netzwerk von Nachsorgern, Leistungserbringern oder Onboarding ist im Umkreis von max. 50 km vom UKD gegeben.</t>
  </si>
  <si>
    <t>04/130-002</t>
  </si>
  <si>
    <t>Im Umkreis von 25 km der UKD befinden sich hierbei ... Nachversorger.</t>
  </si>
  <si>
    <t>Auflistung der Nachversorger als Anlage</t>
  </si>
  <si>
    <t>04/130-003</t>
  </si>
  <si>
    <t>Im Umkreis von 50 km der UKD befinden sich hierbei ... Nachversorger.</t>
  </si>
  <si>
    <t>Datenschutzrechtliche Vorschriften und Bestimmungen werden jederzeit eingehalten. Mit der Plattform wird ein strukturierter Datenaustausch zwischen Leistungserbringern an nachgelagerte Leistungserbringer realisiert.</t>
  </si>
  <si>
    <t>04/130-004</t>
  </si>
  <si>
    <t>Überleitungen in ambulante und stationäre Pflegeeinrichtungen zum geplanten Entlassdatum sind möglich.</t>
  </si>
  <si>
    <t>04/130-005</t>
  </si>
  <si>
    <t>Überleitungen in ambulante und stationäre Anschlussbehandlung und Rehabilitation sind möglich.</t>
  </si>
  <si>
    <t>Folgende Nachversorger-Arten sind im Netzwerk:</t>
  </si>
  <si>
    <t>04/130-006.01</t>
  </si>
  <si>
    <t>Ambulante Pflegedienste</t>
  </si>
  <si>
    <t>04/130-006.02</t>
  </si>
  <si>
    <t>Psychiatrisch ambulante Pflegedienste</t>
  </si>
  <si>
    <t>04/130-006.03</t>
  </si>
  <si>
    <t>Stationäre Pflegeeinrichtung</t>
  </si>
  <si>
    <t>04/130-006.04</t>
  </si>
  <si>
    <t>Tagespflege</t>
  </si>
  <si>
    <t>04/130-006.05</t>
  </si>
  <si>
    <t>Kurzzeitpflege</t>
  </si>
  <si>
    <t>04/130-006.06</t>
  </si>
  <si>
    <t>Verhinderungspflege</t>
  </si>
  <si>
    <t>04/130-006.07</t>
  </si>
  <si>
    <t>Haushaltshilfe</t>
  </si>
  <si>
    <t>04/130-006.08</t>
  </si>
  <si>
    <t>Wohngemeinschaften (Beatmung, Demenz)</t>
  </si>
  <si>
    <t>04/130-006.09</t>
  </si>
  <si>
    <t>Hilfsmittelanbieter / Homecare</t>
  </si>
  <si>
    <t>04/130-006.10</t>
  </si>
  <si>
    <t>Stationäre Rehabilitation</t>
  </si>
  <si>
    <t>04/130-006.11</t>
  </si>
  <si>
    <t>Ambulante Rehabilitation</t>
  </si>
  <si>
    <t>04/130-006.12</t>
  </si>
  <si>
    <t>Neurologische Frührehabilitation</t>
  </si>
  <si>
    <t>04/130-006.13</t>
  </si>
  <si>
    <t>Geriatrische Rehabilitation</t>
  </si>
  <si>
    <t>04/130-006.14</t>
  </si>
  <si>
    <t>Geriatrische Komplexbehandlung/ Akutgeriatrie</t>
  </si>
  <si>
    <t>04/130-006.15</t>
  </si>
  <si>
    <t>Palliativpflege (ambulant / stationäre)</t>
  </si>
  <si>
    <t>04/130-006.16</t>
  </si>
  <si>
    <t>Betreutes Wohnen</t>
  </si>
  <si>
    <t>04/130-006.17</t>
  </si>
  <si>
    <r>
      <t>Weitere (</t>
    </r>
    <r>
      <rPr>
        <b/>
        <i/>
        <sz val="9"/>
        <color theme="1"/>
        <rFont val="Trebuchet MS"/>
        <family val="2"/>
      </rPr>
      <t>bitte im Kommentarfeld angeben welche</t>
    </r>
    <r>
      <rPr>
        <sz val="9"/>
        <color theme="1"/>
        <rFont val="Trebuchet MS"/>
        <family val="2"/>
      </rPr>
      <t>)</t>
    </r>
  </si>
  <si>
    <t>04/130-007</t>
  </si>
  <si>
    <t>Es ist Nachversorgern möglich "ihre" Daten und Angebote selbst zu verwalten und anzupassen.</t>
  </si>
  <si>
    <t>04/130-008</t>
  </si>
  <si>
    <t>Dem angefragten Nachversorger ist es möglich Rückfragen zu stellen, z. B. Gewicht, Größe.</t>
  </si>
  <si>
    <t>04/130-009</t>
  </si>
  <si>
    <t>Wenn ein Auftrag an Nachversorger erteilt ist, erhalten alle anderen angefragten Nachversorger eine Information bzw. Absage.</t>
  </si>
  <si>
    <t>04/130-010</t>
  </si>
  <si>
    <t>Eine datenschutzkonforme und sprachbasierte Dokumentation von Sozialberatungsgesprächen ist möglich und diese ist in die Anträge der Nachsorge übertragbar.</t>
  </si>
  <si>
    <t>04/140</t>
  </si>
  <si>
    <t>(140) Reporting</t>
  </si>
  <si>
    <t>04/140-001</t>
  </si>
  <si>
    <t>Eigene Reporting Engine (z.B. für Standardreports Nutzungsdaten, wiederkehrende Reports, Adhoc Reports) ist vorhanden</t>
  </si>
  <si>
    <t>04/140-002</t>
  </si>
  <si>
    <t>Es ist möglich zustätzliche Reports ohne Programmierkenntnisse zu erstellen.</t>
  </si>
  <si>
    <t>04/140-003</t>
  </si>
  <si>
    <t>Die automatischen Generierung von Standardreports auf täglicher Basis ist möglich.</t>
  </si>
  <si>
    <t>04/140-004</t>
  </si>
  <si>
    <t>Die automatischen Generierung von Standardreports auf wöchentlicher Basis ist möglich.</t>
  </si>
  <si>
    <t>04/140-005</t>
  </si>
  <si>
    <t>Die automatischen Generierung von Standardreports auf monatlicher Basis ist möglich.</t>
  </si>
  <si>
    <t>04/140-006</t>
  </si>
  <si>
    <t>Die automatischen Generierung von Standardreports auf jährlicher Basis ist möglich.</t>
  </si>
  <si>
    <t>04/140-007</t>
  </si>
  <si>
    <t>Es ist die grafische Aufarbeitung von Reports möglich.</t>
  </si>
  <si>
    <t>04/140-008</t>
  </si>
  <si>
    <t>Es gibt ein Self Service Dashboard für Reporting.</t>
  </si>
  <si>
    <t>04/140-009</t>
  </si>
  <si>
    <t>Individuelles Reporting auf Benutzerebene (Rolle oder Funktion).</t>
  </si>
  <si>
    <t>04/140-010</t>
  </si>
  <si>
    <t>Für Berichte gesetzte Filter sowie benutzerdefinierte Angaben werden vom System gespeichert und können vom Benutzer bei der nächsten Gelegenheit wieder angepasst werden.</t>
  </si>
  <si>
    <t>04/140-011</t>
  </si>
  <si>
    <t>Benutzer haben die Möglichkeit individuelle Bookmarks zu setzen, zu speichern und zu löschen.</t>
  </si>
  <si>
    <t>04/140-012</t>
  </si>
  <si>
    <t>Es existiert ein einfach zu bedienender Maskendesigner für das rasche Erstellen und Anpassen von Reports.</t>
  </si>
  <si>
    <t>04/140-013</t>
  </si>
  <si>
    <t>Es ist den berechtigtem Fachbereich mögich diesen Maskendesigner ohne spezifische Kenntnisse in Parametrisierung und Programmierung zu nutzen.</t>
  </si>
  <si>
    <t>04/140-014</t>
  </si>
  <si>
    <t>Es ist möglich sämtliche Reports in gängige Formate zur Weiterverwendung/-verarbeitung zu exportieren, z. B.</t>
  </si>
  <si>
    <t>04/140-014.01</t>
  </si>
  <si>
    <t>.csv-Format</t>
  </si>
  <si>
    <t>04/140-014.02</t>
  </si>
  <si>
    <t>.xml-Format</t>
  </si>
  <si>
    <t>04/140-015</t>
  </si>
  <si>
    <t>Sämtliche Reports sind formatiert und können gedruckt werden.</t>
  </si>
  <si>
    <t>04/140-016</t>
  </si>
  <si>
    <t>Nachvollziehbarkeit von historischen Daten, Planwerten und Berichten (Versionierung) ist möglich.</t>
  </si>
  <si>
    <t>04/140-017</t>
  </si>
  <si>
    <t>Es ist Usern möglich im Standard ausgelieferte Dashboards und Reports individuell zusammenzustellen.</t>
  </si>
  <si>
    <t>04/140-018</t>
  </si>
  <si>
    <t>Zeitliche Abfragen auf spezifisches Datum.</t>
  </si>
  <si>
    <t>04/140-019</t>
  </si>
  <si>
    <t>Automatisierung von Abfragen mithilfe von Jobs.</t>
  </si>
  <si>
    <t>04/140-020</t>
  </si>
  <si>
    <t>Einfache Anpassung der Layouts der Reports.</t>
  </si>
  <si>
    <t>04/140-021</t>
  </si>
  <si>
    <t>Verwendung von eigenen Formeln und Variablen in der Erstellung von Reports.</t>
  </si>
  <si>
    <t>04/140-022</t>
  </si>
  <si>
    <t>Darstellung der Anfragen pro Nachversorger.</t>
  </si>
  <si>
    <t>04/140-023</t>
  </si>
  <si>
    <t>Darstellung der Zu- und Absagen pro Nachversorger.</t>
  </si>
  <si>
    <t>04/140-024</t>
  </si>
  <si>
    <t>Darstellung der zeitlichen Dauer für jede Übermittlung.</t>
  </si>
  <si>
    <t>04/150</t>
  </si>
  <si>
    <t>(150) Suchprofil / Suche</t>
  </si>
  <si>
    <t>04/150-001</t>
  </si>
  <si>
    <t>Im Suchprofil für Pflegeüberleitungen lassen sich Informationen zur psychischen Verfassung des:r Patient:innen hinterlegen.</t>
  </si>
  <si>
    <t>verifizierte Teststellung</t>
  </si>
  <si>
    <t>04/150-002</t>
  </si>
  <si>
    <t xml:space="preserve">Die Suche nach einem passenden Platz wird durch ein geeignetes Regelwerk unterstützt. </t>
  </si>
  <si>
    <t>04/150-003</t>
  </si>
  <si>
    <t>Das System bietet eine erweiterte Suchfunktion nach mehreren Parametern an.</t>
  </si>
  <si>
    <t>05/10</t>
  </si>
  <si>
    <t>(10) Login</t>
  </si>
  <si>
    <t>05/10-001</t>
  </si>
  <si>
    <t>Datenzugriffe sind nur nach vorheriger Benutzeranmeldung gemäß Rollen- und Rechtekonzepts möglich.</t>
  </si>
  <si>
    <t>05/10-002</t>
  </si>
  <si>
    <t>Die Konfiguration beinhaltet ab wie vielen fehlerhaften Login-Versuchen das Benutzerkonto gesperrt wird. Die Wiedereröffnung ist unkompliziert, aber mit einem sicheren Verfahren unter Einsatz eines Identifizierungsverfahrens möglich.</t>
  </si>
  <si>
    <t>05/10-003</t>
  </si>
  <si>
    <t>Als Benutzeranmeldung wird optional eine Multifaktoraufthentifizierung angeboten.</t>
  </si>
  <si>
    <t>05/10-004</t>
  </si>
  <si>
    <t xml:space="preserve">Es ist möglich ein Session-Time-Out zu konfigurieren, welche die Abmeldung nach Inaktivität aktiviert. </t>
  </si>
  <si>
    <t>05/10-005</t>
  </si>
  <si>
    <t>Die Länge der Time-Out-Session ist durch Administratoren der Auftraggeberin konfigurierbar.</t>
  </si>
  <si>
    <t>05/20</t>
  </si>
  <si>
    <t>(20) Datenschutz, Informationssicherheit und IT-Sicherheit</t>
  </si>
  <si>
    <t>05/20-001</t>
  </si>
  <si>
    <t>Das System berücktischtigt die Anforderungen an Informationssicherheit und Datenschutz gemäß dem aktuellen Stand der Technik. Dazu gehören insbesondere:</t>
  </si>
  <si>
    <t>Datenschutzkonzept; entsprechende Zertifikate falls vorhanden</t>
  </si>
  <si>
    <t>05/20-001.01</t>
  </si>
  <si>
    <t>- DSGVO (Datenschutz-Grundverordnung)</t>
  </si>
  <si>
    <t>05/20-001.02</t>
  </si>
  <si>
    <t>- BDSG (Bundesdatenschutzgesetz)</t>
  </si>
  <si>
    <t>05/20-001.03</t>
  </si>
  <si>
    <t>- SächsDSG (Sächsisches Datenschutzgesetz)</t>
  </si>
  <si>
    <t>05/20-001.04</t>
  </si>
  <si>
    <t>- Sächsisches Krankenhausgesetz (SächsKHG)</t>
  </si>
  <si>
    <t>05/20-001.05</t>
  </si>
  <si>
    <t>- IT-SIG 2.0 (IT-Sicherheitsgesetz 2.0)</t>
  </si>
  <si>
    <t>05/20-001.06</t>
  </si>
  <si>
    <t>- Orientierungshilfe Krankenhausinformationssysteme</t>
  </si>
  <si>
    <t>Umfang und Inhalt der Konzepte:</t>
  </si>
  <si>
    <r>
      <rPr>
        <b/>
        <sz val="9"/>
        <rFont val="Trebuchet MS"/>
        <family val="2"/>
      </rPr>
      <t>K1 Notfall- und Wiederherstellungskonzept:</t>
    </r>
    <r>
      <rPr>
        <sz val="9"/>
        <rFont val="Trebuchet MS"/>
        <family val="2"/>
      </rPr>
      <t xml:space="preserve"> maximal zehn (10) DIN A4 Seiten in der Schriftgröße 10, Arial, (exkl. Deckblatt und Inhaltsverzeichnis), kann geeignete bildliche Darstellungen / Skizzen zur Veranschaulichung enthalten. </t>
    </r>
  </si>
  <si>
    <t xml:space="preserve">Das Konzept muss mindestens Folgendes enthalten: </t>
  </si>
  <si>
    <t>- die technischen Verfahren für den ausfallsicheren Betrieb
- Reaktionszeiten im Notfall (des Dienstleisters)
- Fernwartungszugriffsmethoden
- Datensicherungsverfahren
- Netzwerksicherheitsanforderungen
- Schutz vor schadhafter Software
- Zugriffsschutzverfahren
- Protokollierungsmöglichkeiten
- Verschlüsselungsverfahren
- Ausfallsicherheit Maßnahmen zur Wiederherstellung von Systemen
- Business continuity oder Desaster Recovery Pläne
- Wartungsfähigkeit
- Sicherheitsvalidierung, Schwachstellenerkennung/-analyse /-behebung</t>
  </si>
  <si>
    <r>
      <t xml:space="preserve">K2 Löschkonzept: </t>
    </r>
    <r>
      <rPr>
        <sz val="9"/>
        <rFont val="Trebuchet MS"/>
        <family val="2"/>
      </rPr>
      <t xml:space="preserve">maximal zehn (10) DIN A4 Seiten in der Schriftgröße 10, Arial, (exkl. Deckblatt und Inhaltsverzeichnis), kann geeignete bildliche Darstellungen / Skizzen zur Veranschaulichung enthalten. </t>
    </r>
  </si>
  <si>
    <t>Das Konzept muss mindestens Folgendes enthalten:</t>
  </si>
  <si>
    <t>- Einhaltung sämtlicher rechtlicher und regulatorischer Vorschriften, sowohl allgemeine als auch spezifische (sächsischen) Datenschutz- und Sicherheitsbestimmungen
- Vorgaben zum Umgang mit Daten nach Vertragsende
- Kategorisierung der Daten und die Festlegung der Löschfristen
- Prozesse zur Löschung von Daten inkl. Überprüfung und Durchführung
- Verantwortliche für die Umsetzung und Überwachung der Löschprozesse
- Technische Umsetzung
- Protokollierung und Nachweisführung (Nachvollziehbarkeit, Berichte für interne und externe Prüfungen)</t>
  </si>
  <si>
    <r>
      <rPr>
        <b/>
        <sz val="9"/>
        <rFont val="Trebuchet MS"/>
        <family val="2"/>
      </rPr>
      <t>K3 Konzept zum Projekt- und Prozessmanagement</t>
    </r>
    <r>
      <rPr>
        <sz val="9"/>
        <rFont val="Trebuchet MS"/>
        <family val="2"/>
      </rPr>
      <t xml:space="preserve">: maximal zehn (10) DIN A4 Seiten in der Schriftgröße 10, Arial, (exkl. Deckblatt und Inhaltsverzeichnis), kann geeignete bildliche Darstellungen / Skizzen zur Veranschaulichung enthalten. </t>
    </r>
  </si>
  <si>
    <t>Im Konzept müssen Aussagen getroffen werden zu:</t>
  </si>
  <si>
    <t>- Projektvorbereitung und Projektplanung/-struktur inkl. Methodik des Projektmanagements
- Aufgaben auf Seiten des Anbieters als auch die Mitwirkungen im Projekt
- Projektdokumentation
- Prozessmanagement
- Prozess zum Onboarding der nachversorgenden Einrichtungen</t>
  </si>
  <si>
    <r>
      <rPr>
        <b/>
        <sz val="9"/>
        <color rgb="FF000000"/>
        <rFont val="Trebuchet MS"/>
      </rPr>
      <t xml:space="preserve">K4 Lösungs- /Betriebskonzept: </t>
    </r>
    <r>
      <rPr>
        <sz val="9"/>
        <color rgb="FF000000"/>
        <rFont val="Trebuchet MS"/>
      </rPr>
      <t xml:space="preserve">maximal fünfzehn (15) DIN A4 Seiten in der Schriftgröße 10, Arial, (exkl. Deckblatt und Inhaltsverzeichnis), kann geeignete bildliche Darstellungen / Skizzen zur Veranschaulichung enthalten. </t>
    </r>
  </si>
  <si>
    <t xml:space="preserve">- Architektur inkl. Lösungsmodell und Design der Systemarchitektur unter Berücksichtigung von Skalierbarkeit, Verschlüsselung, Verfügbarkeit und Redundanz
- Netzwerk- und Kommunikationstechnologien für eine robuste und sichere Anbindung der Standorte an die Lösung
- Systemintegration und Interoperabilität (Nutzung von APIs und Schnittstellenstandards z.B. HL7, FHIR zur Integration mit bestehenden sowie künftigen IT-Systemen der Klinik)
- Datenmanagement und –speicherung (Strategie zur Speicherung, Verarbeitung und Übertragung von Daten in der Lösung)
- Planung sowie Maßnahmen zur Sicherstellung der hohen Verfügbarkeit und Zuverlässigkeit der Cloud-basierten Lösung u.a. Disaster Recovery Plänen, Back-Up Strategien, Leistungsüberwachung und –optimierung)
- Sicherheitsanforderungen an das Rechenzentrum (RZ) Betrieb (z.B., Zugangskontrollen, Einhaltung von Datenschutzgesetzen, Compliance-Mechanismen inkl. Audits)
</t>
  </si>
  <si>
    <r>
      <rPr>
        <b/>
        <sz val="9"/>
        <rFont val="Trebuchet MS"/>
        <family val="2"/>
      </rPr>
      <t xml:space="preserve">K5: Schulungskonzept: </t>
    </r>
    <r>
      <rPr>
        <sz val="9"/>
        <rFont val="Trebuchet MS"/>
        <family val="2"/>
      </rPr>
      <t xml:space="preserve">maximal zehn (10) DIN A4 Seiten in der Schriftgröße 10, Arial, (exkl. Deckblatt und Inhaltsverzeichnis), kann geeignete bildliche Darstellungen / Skizzen zur Veranschaulichung enthalten. </t>
    </r>
  </si>
  <si>
    <t>Das Konzept muss Folgendes enthalten:</t>
  </si>
  <si>
    <t>- Anwenderadministratorenschulungen (z.B. generelle Stammdaten und Einstellungen wie Benutzer, Rollen oder weitere Tätigkeiten)
- Systemadministratorenschulungen (z.B. Systemüberwachung, Datenverwaltung oder weitere Tätigkeiten)
- Key-User Schulungen, um die Nutzer des Digitalen Entlassmanagement zu schulen
- Format und Art der Schulungen, Anzahl der Personen an Schulungen, Schulungsunterlagen, etc.</t>
  </si>
  <si>
    <r>
      <t xml:space="preserve">K6: Rollen- und Rechtekonzept: </t>
    </r>
    <r>
      <rPr>
        <sz val="9"/>
        <rFont val="Trebuchet MS"/>
        <family val="2"/>
      </rPr>
      <t xml:space="preserve">maximal zehn (10) DIN A4 Seiten in der Schriftgröße 10, Arial, (exkl. Deckblatt und Inhaltsverzeichnis), kann geeignete bildliche Darstellungen / Skizzen zur Veranschaulichung enthalten. </t>
    </r>
  </si>
  <si>
    <t>Das Konzept muss auf folgenden Punkten basieren:</t>
  </si>
  <si>
    <t> </t>
  </si>
  <si>
    <t>- Trennung und Verteilung von Aufgaben auf verschiedene Benutzer
- Verteilung der Benutzerrechte (bei Aufgaben)
- Protokollierbarkeit der Zugriffe und Änderungen
- Definition von Rollen und ihre Rechte (Bezug auf wichtige Rollen wie Administrator, Sozialdienst, Arzt, Pflegepersonal, etc.)
- Anpassbarkeit und Erstellung der Rollen</t>
  </si>
  <si>
    <r>
      <t xml:space="preserve">K7: Konzept zum Datenschutz und IT-Sicherheit: </t>
    </r>
    <r>
      <rPr>
        <sz val="9"/>
        <rFont val="Trebuchet MS"/>
        <family val="2"/>
      </rPr>
      <t xml:space="preserve">maximal zehn (10) DIN A4 Seiten in der Schriftgröße 10, Arial, (exkl. Deckblatt und Inhaltsverzeichnis), kann geeignete bildliche Darstellungen / Skizzen zur Veranschaulichung enthalten. </t>
    </r>
  </si>
  <si>
    <t>Das System berücktischtigt die Anforderungen an Informationssicherheit und Datenschutz gemäß dem aktuellen Stand der Technik. Dazu gehören:
- DSGVO (Datenschutz-Grundverordnung)
- BDSG (Bundesdatenschutzgesetz)
- SächsDSG (Sächsisches Datenschutzgesetz)
- Sächsisches Krankenhausgesetz (SächsKHG)
- IT-SIG 2.0 (IT-Sicherheitsgesetz 2.0)
- Orientierungshilfe Krankenhausinformationssysteme</t>
  </si>
  <si>
    <t>Bewertung Konzepte:</t>
  </si>
  <si>
    <t>Die konzeptionellen Leistungskriterien werden jeweils mit Punkten von 1 (= schlechteste erreichbare Punktzahl) bis 5 (= beste erreichbare Punktzahl) unter Berücksichtigung der nachfolgenden Leitlinien (Zielerreichungsgrade) bewertet. Entsprechend sind maximal 7 x 5 = 35 Punkte zu erreichen.</t>
  </si>
  <si>
    <t>Dazu im Einzelnen:</t>
  </si>
  <si>
    <r>
      <rPr>
        <b/>
        <sz val="9"/>
        <rFont val="Trebuchet MS"/>
        <family val="2"/>
      </rPr>
      <t>1 Punkt</t>
    </r>
    <r>
      <rPr>
        <sz val="9"/>
        <rFont val="Trebuchet MS"/>
        <family val="2"/>
      </rPr>
      <t>: Erhält ein Bieter, wenn seine Darstellungen im Konzept aus Sicht der Auftraggeber nicht oder allenfalls zu einem sehr geringen Teil plausibel und nachvollziehbar erscheinen und auf eine nur ungenügende Umsetzung des jeweiligen Ziels unter Berücksichtigung des vorgegebenen Leistungssolls schließen lassen.</t>
    </r>
  </si>
  <si>
    <r>
      <rPr>
        <b/>
        <sz val="9"/>
        <rFont val="Trebuchet MS"/>
        <family val="2"/>
      </rPr>
      <t>2 Punkte:</t>
    </r>
    <r>
      <rPr>
        <sz val="9"/>
        <rFont val="Trebuchet MS"/>
        <family val="2"/>
      </rPr>
      <t xml:space="preserve"> Erhält ein Bieter, wenn seine Darstellungen im Konzept aus Sicht der Auftraggeber lediglich in einzelnen Teilen plausibel und nachvollziehbar erscheinen und auf eine nur in Teilen noch ausreichende Umsetzung des jeweiligen Ziels unter Berücksichtigung des vorgegebenen Leistungssolls schließen lassen.</t>
    </r>
  </si>
  <si>
    <r>
      <rPr>
        <b/>
        <sz val="9"/>
        <rFont val="Trebuchet MS"/>
        <family val="2"/>
      </rPr>
      <t>3 Punkte:</t>
    </r>
    <r>
      <rPr>
        <sz val="9"/>
        <rFont val="Trebuchet MS"/>
        <family val="2"/>
      </rPr>
      <t xml:space="preserve"> Erhält ein Bieter, wenn seine Darstellungen im Konzept aus Sicht der Auftraggeber zumindest in nicht unwesentlichem Umfang plausibel und nachvollziehbar erscheinen und auf eine noch insgesamt ausreichende Umsetzung des jeweiligen Ziels unter Berücksichtigung des vorgegebenen Leistungssolls schließen lassen.</t>
    </r>
  </si>
  <si>
    <r>
      <rPr>
        <b/>
        <sz val="9"/>
        <rFont val="Trebuchet MS"/>
        <family val="2"/>
      </rPr>
      <t xml:space="preserve">4 Punkte: </t>
    </r>
    <r>
      <rPr>
        <sz val="9"/>
        <rFont val="Trebuchet MS"/>
        <family val="2"/>
      </rPr>
      <t>Erhält ein Bieter, wenn seine Darstellungen im Konzept aus Sicht der Auftraggeber im Wesentlichen plausibel und nachvollziehbar erscheinen und auf eine nahezu vollumfängliche Umsetzung des jeweiligen Ziels unter Berücksichtigung des vorgegebenen Leistungssolls schließen lassen.</t>
    </r>
  </si>
  <si>
    <r>
      <rPr>
        <b/>
        <sz val="9"/>
        <rFont val="Trebuchet MS"/>
        <family val="2"/>
      </rPr>
      <t>5 Punkte:</t>
    </r>
    <r>
      <rPr>
        <sz val="9"/>
        <rFont val="Trebuchet MS"/>
        <family val="2"/>
      </rPr>
      <t xml:space="preserve"> Erhält ein Bieter, wenn seine Darstellungen im Konzept aus Sicht der Auftraggeber in jeder Hinsicht plausibel und nachvollziehbar erscheinen und auf eine optimale und vollumfängliche Umsetzung des jeweiligen Ziels unter Berücksichtigung des vorgegebenen Leistungssolls schließen lassen.</t>
    </r>
  </si>
  <si>
    <t>K/10</t>
  </si>
  <si>
    <t>K1 Notfall- und Wiederherstellungskonzept</t>
  </si>
  <si>
    <t>K/10-001</t>
  </si>
  <si>
    <t>Notfall- und Wiederherstellungskonzept liegt dem Angebot bei.</t>
  </si>
  <si>
    <t>Konzept K1</t>
  </si>
  <si>
    <t>K/10-002</t>
  </si>
  <si>
    <t>Konzept entspricht den o.g. Vorgaben (siehe "Umfang und Inhalt der Konzepte")</t>
  </si>
  <si>
    <t>Auftraggeber/in</t>
  </si>
  <si>
    <t>K/20</t>
  </si>
  <si>
    <t>K2 Löschkonzept</t>
  </si>
  <si>
    <t>K/20-001</t>
  </si>
  <si>
    <t>Löschkonzept liegt dem Angebot bei.</t>
  </si>
  <si>
    <t>Konzept K2</t>
  </si>
  <si>
    <t>K/20-002</t>
  </si>
  <si>
    <t>K/30</t>
  </si>
  <si>
    <t>K3 Konzept zum Projekt- und Prozessmanagement</t>
  </si>
  <si>
    <t>K/30-001</t>
  </si>
  <si>
    <t>Konzept zum Projekt- und Prozessmanagement liegt dem Angebot bei.</t>
  </si>
  <si>
    <t>Konzept K3</t>
  </si>
  <si>
    <t>K/30-002</t>
  </si>
  <si>
    <t>K/40</t>
  </si>
  <si>
    <t>K4 Lösungs- /Betriebskonzept</t>
  </si>
  <si>
    <t>K/40-001</t>
  </si>
  <si>
    <t xml:space="preserve">Konzept zur Implementierung liegt dem Angebot bei </t>
  </si>
  <si>
    <t>Konzept K4</t>
  </si>
  <si>
    <t>K/40-002</t>
  </si>
  <si>
    <t>K/50</t>
  </si>
  <si>
    <t>K5 Schulungskonzept</t>
  </si>
  <si>
    <t>K/50-001</t>
  </si>
  <si>
    <t xml:space="preserve">Schulungskonzept liegt dem Angebot bei </t>
  </si>
  <si>
    <t>Konzept K5</t>
  </si>
  <si>
    <t>K/50-002</t>
  </si>
  <si>
    <t>K/60</t>
  </si>
  <si>
    <t>K6 Rollen- und Rechtekonzept</t>
  </si>
  <si>
    <t>K/60-001</t>
  </si>
  <si>
    <t xml:space="preserve">Rollen- Rechtekonzept liegt dem Angebot bei </t>
  </si>
  <si>
    <t>Konzept K6</t>
  </si>
  <si>
    <t>K/60-002</t>
  </si>
  <si>
    <t>K/70</t>
  </si>
  <si>
    <t>K7 Konzept zum Datenschutz und IT-Sicherheit</t>
  </si>
  <si>
    <t>K/70-001</t>
  </si>
  <si>
    <t>Konzept K7</t>
  </si>
  <si>
    <t>K/70-002</t>
  </si>
  <si>
    <t>Inhalt Bieterpräsentation:</t>
  </si>
  <si>
    <t xml:space="preserve">Die Bieterpräsentation dient der Produktdemonstration („verifizierte Teststellung“). Hierbei sollen die Bieter die angebotene Systemlösung anhand von Use Cases präsentieren, um die Funktionalität überprüfen zu können. Die Überprüfung der Funktionalität erfolgt anhand folgender Use Cases: 
</t>
  </si>
  <si>
    <t>1) Überblick über das Tool/die Lösung*</t>
  </si>
  <si>
    <t>2) Live-Vorführung des Tools mit Präsentation der Hauptfunktionen</t>
  </si>
  <si>
    <t>2.1) Live-Demo: Patientendatenverwaltung</t>
  </si>
  <si>
    <t>2.2) Live-Demo: Entlassungsplanung</t>
  </si>
  <si>
    <t>2.3) Live-Demo: Kommunikation und Dokumentation</t>
  </si>
  <si>
    <t>2.4) Live-Demo: Berichterstellung und Analyse</t>
  </si>
  <si>
    <t xml:space="preserve">3) Compliance/Sicherheit </t>
  </si>
  <si>
    <t>4) Benutzerfreundlichkeit und Schulung</t>
  </si>
  <si>
    <t>Die mit * gekennzeichneten Themen werden nicht bewertet.</t>
  </si>
  <si>
    <t>Bewertung Bieterpräsentation:</t>
  </si>
  <si>
    <t xml:space="preserve">Die Leistungskriterien für die Bieterpräsentation werden jeweils mit Punkten von 1 (= schlechteste erreichbare Punktzahl) bis 5 (= beste erreichbare Punktzahl) unter Berücksichtigung der nachfolgenden Leitlinien (Zielerreichungsgrade) bewertet. </t>
  </si>
  <si>
    <t>Dazu im Einzelnen: </t>
  </si>
  <si>
    <r>
      <rPr>
        <b/>
        <sz val="9"/>
        <color theme="1"/>
        <rFont val="Trebuchet MS"/>
        <family val="2"/>
      </rPr>
      <t>1 Punkt</t>
    </r>
    <r>
      <rPr>
        <sz val="9"/>
        <color theme="1"/>
        <rFont val="Trebuchet MS"/>
        <family val="2"/>
      </rPr>
      <t>: Erhält ein Bieter, wenn seine Darstellungen aus Sicht der Auftraggeber nicht oder allenfalls zu einem sehr geringen Teil plausibel und nachvollziehbar erscheinen und auf eine nur ungenügende Umsetzung des jeweiligen Ziels unter Berücksichtigung des vorgegebenen Leistungssolls schließen lassen. </t>
    </r>
  </si>
  <si>
    <r>
      <rPr>
        <b/>
        <sz val="9"/>
        <color theme="1"/>
        <rFont val="Trebuchet MS"/>
        <family val="2"/>
      </rPr>
      <t>2 Punkte</t>
    </r>
    <r>
      <rPr>
        <sz val="9"/>
        <color theme="1"/>
        <rFont val="Trebuchet MS"/>
        <family val="2"/>
      </rPr>
      <t xml:space="preserve">: Erhält ein Bieter, wenn seine Darstellungen aus Sicht der Auftraggeber lediglich in einzelnen Teilen plausibel und nachvollziehbar erscheinen und auf eine nur in Teilen noch ausreichende Umsetzung des jeweiligen Ziels unter Berücksichtigung des vorgegebenen Leistungssolls schließen lassen. </t>
    </r>
  </si>
  <si>
    <r>
      <rPr>
        <b/>
        <sz val="9"/>
        <color theme="1"/>
        <rFont val="Trebuchet MS"/>
        <family val="2"/>
      </rPr>
      <t>3 Punkte</t>
    </r>
    <r>
      <rPr>
        <sz val="9"/>
        <color theme="1"/>
        <rFont val="Trebuchet MS"/>
        <family val="2"/>
      </rPr>
      <t xml:space="preserve">: Erhält ein Bieter, wenn seine Darstellungen aus Sicht der Auftraggeber zumindest in nicht unwesentlichem Umfang plausibel und nachvollziehbar erscheinen und auf eine noch insgesamt ausreichende Umsetzung des jeweiligen Ziels unter Berücksichtigung des vorgegebenen Leistungssolls schließen lassen. </t>
    </r>
  </si>
  <si>
    <r>
      <rPr>
        <b/>
        <sz val="9"/>
        <color theme="1"/>
        <rFont val="Trebuchet MS"/>
        <family val="2"/>
      </rPr>
      <t>4 Punkte</t>
    </r>
    <r>
      <rPr>
        <sz val="9"/>
        <color theme="1"/>
        <rFont val="Trebuchet MS"/>
        <family val="2"/>
      </rPr>
      <t xml:space="preserve">: Erhält ein Bieter, wenn seine Darstellungen aus Sicht der Auftraggeber im Wesentlichen plausibel und nachvollziehbar erscheinen und auf eine nahezu vollumfängliche Umsetzung des jeweiligen Ziels unter Berücksichtigung des vorgegebenen Leistungssolls schließen lassen. </t>
    </r>
  </si>
  <si>
    <r>
      <rPr>
        <b/>
        <sz val="9"/>
        <color theme="1"/>
        <rFont val="Trebuchet MS"/>
        <family val="2"/>
      </rPr>
      <t>5 Punkte</t>
    </r>
    <r>
      <rPr>
        <sz val="9"/>
        <color theme="1"/>
        <rFont val="Trebuchet MS"/>
        <family val="2"/>
      </rPr>
      <t xml:space="preserve">: Erhält ein Bieter, wenn seine Darstellungen aus Sicht der Auftraggeber in jeder Hinsicht plausibel und nachvollziehbar erscheinen und auf eine optimale und vollumfängliche Umsetzung des jeweiligen Ziels unter Berücksichtigung des vorgegebenen Leistungssolls schließen lassen. </t>
    </r>
  </si>
  <si>
    <t>Angabe</t>
  </si>
  <si>
    <t>Eingabe: max. erreichbare Punkte</t>
  </si>
  <si>
    <t>B/2x</t>
  </si>
  <si>
    <t xml:space="preserve">Live-Vorführung des Tools </t>
  </si>
  <si>
    <t>B/21</t>
  </si>
  <si>
    <t>Live-Demo: Patientendatenverwaltung</t>
  </si>
  <si>
    <t>B/21-001</t>
  </si>
  <si>
    <t>Patientenakte: Wie erfasst, speichert und verwaltet das System die Patientendaten?</t>
  </si>
  <si>
    <t>Präsentation</t>
  </si>
  <si>
    <t>B/21-002</t>
  </si>
  <si>
    <t>Zugriffskontrolle</t>
  </si>
  <si>
    <t>B/21-003</t>
  </si>
  <si>
    <t>Datenintegration: Dedalus Orbis-KIS</t>
  </si>
  <si>
    <t>B/22</t>
  </si>
  <si>
    <t>Live-Demo: Entlassungsplanung</t>
  </si>
  <si>
    <t>B/22-001</t>
  </si>
  <si>
    <t>Automatisierte Workflows</t>
  </si>
  <si>
    <t>B/22-002</t>
  </si>
  <si>
    <t>Interdisziplinäre Zusammenarbeit zwischen Sozialdienst, Ärzten, etc.</t>
  </si>
  <si>
    <t>B/22-003</t>
  </si>
  <si>
    <t>Checklisten z.B. dass alle Entlassungskriterien erfüllt sind.</t>
  </si>
  <si>
    <t>B/22-004</t>
  </si>
  <si>
    <t>Kriterien- und Filterfunktion der Einrichtungen</t>
  </si>
  <si>
    <t>B/23</t>
  </si>
  <si>
    <t>Live-Demo: Kommunikation und Dokumentation</t>
  </si>
  <si>
    <t>B/23-001</t>
  </si>
  <si>
    <t>Kommunikationsmodule: Welche Möglichkeiten gibt es und wie funktioniert es?</t>
  </si>
  <si>
    <t>B/23-002</t>
  </si>
  <si>
    <t>Dokumentation der kontaktierten Einrichtungen</t>
  </si>
  <si>
    <t>B/23-003</t>
  </si>
  <si>
    <t>Dokumentation der Absagen</t>
  </si>
  <si>
    <t>B/23-004</t>
  </si>
  <si>
    <t>Erstellung und Verwaltung von Entlassdokumenten</t>
  </si>
  <si>
    <t>B/23-005</t>
  </si>
  <si>
    <t>Entlassungspläne sowie der Entlassungsstatus</t>
  </si>
  <si>
    <t>B/24</t>
  </si>
  <si>
    <t>Live-Demo: Berichterstellung und Analyse</t>
  </si>
  <si>
    <t>B/24-001</t>
  </si>
  <si>
    <t>Erstellung von Berichten zur Entlassqualität und -effizienz</t>
  </si>
  <si>
    <t>B/24-002</t>
  </si>
  <si>
    <t>Tools zur Analyse und Verbesserung der Entlassprozesse basierend auf gesammelten Daten</t>
  </si>
  <si>
    <t>B/30</t>
  </si>
  <si>
    <t xml:space="preserve">Compliance / Sicherheit </t>
  </si>
  <si>
    <t>B/30-001</t>
  </si>
  <si>
    <t>Einhaltung gesetzliche Vorschriften (z.B. DSGVO)</t>
  </si>
  <si>
    <t>B/30-002</t>
  </si>
  <si>
    <t>Erfüllung der gesetzlichen Dokumentationspflichten</t>
  </si>
  <si>
    <t>B/40</t>
  </si>
  <si>
    <t>Benutzerfreundlichkeit und Schulung</t>
  </si>
  <si>
    <t>B/40-001</t>
  </si>
  <si>
    <t>Benutzeroberfläche</t>
  </si>
  <si>
    <t>B/40-002</t>
  </si>
  <si>
    <t>Abruf von Schulungsmaterialien</t>
  </si>
  <si>
    <t>Leistungen</t>
  </si>
  <si>
    <t>Beschreibung/Anmerkung</t>
  </si>
  <si>
    <t>Pflicht / Option</t>
  </si>
  <si>
    <t>Menge</t>
  </si>
  <si>
    <t>Einheit</t>
  </si>
  <si>
    <t>Einzelpreis (netto)</t>
  </si>
  <si>
    <t>Gesamtpreis (netto)</t>
  </si>
  <si>
    <t>Position geht in Wertungsgesamtpreis mit ein?</t>
  </si>
  <si>
    <t>1.</t>
  </si>
  <si>
    <t>Software Entlassmanagement</t>
  </si>
  <si>
    <t>1.1</t>
  </si>
  <si>
    <t>Portallösung für Entlassmanagement</t>
  </si>
  <si>
    <t>P</t>
  </si>
  <si>
    <t>Campuslizenz</t>
  </si>
  <si>
    <t>1.2</t>
  </si>
  <si>
    <t>Schnittstellen-Anbindung</t>
  </si>
  <si>
    <t>1.2.1</t>
  </si>
  <si>
    <t>ADT KIS (Dedalus Orbis)</t>
  </si>
  <si>
    <t>Lizenz</t>
  </si>
  <si>
    <t>1.2.2</t>
  </si>
  <si>
    <t>MDM KIS (Dedalus Orbis)</t>
  </si>
  <si>
    <t>1.2.3</t>
  </si>
  <si>
    <t>FHIR Patient:innendaten KIS (Dedalus Orbis)</t>
  </si>
  <si>
    <t>1.2.4</t>
  </si>
  <si>
    <t>FHIR Patient:innendaten Patientenportal (OeHS)</t>
  </si>
  <si>
    <t>2.</t>
  </si>
  <si>
    <t>Projektbegleitende Dienstleistungen</t>
  </si>
  <si>
    <t>2.1</t>
  </si>
  <si>
    <t>Technische Installation und Inbetriebnahme Portallösung für Entlassmanagement</t>
  </si>
  <si>
    <t xml:space="preserve"> DL Tag</t>
  </si>
  <si>
    <t>2.2</t>
  </si>
  <si>
    <t>2.3</t>
  </si>
  <si>
    <t xml:space="preserve">Dienstleistung Systemintegration
</t>
  </si>
  <si>
    <t>2.4</t>
  </si>
  <si>
    <t>Schulung Systemadministratoren</t>
  </si>
  <si>
    <t>2.5</t>
  </si>
  <si>
    <t>Schulung Anwendungsadministratoren / Key User</t>
  </si>
  <si>
    <t>2.6</t>
  </si>
  <si>
    <t>Onboarding Nachversorgernetzwerk</t>
  </si>
  <si>
    <t>O</t>
  </si>
  <si>
    <t>2.7</t>
  </si>
  <si>
    <t>Begleitung Echtbetrieb vor Ort</t>
  </si>
  <si>
    <t>2.8</t>
  </si>
  <si>
    <t>Reisekostenpauschale für Dienstleistungen vor Ort</t>
  </si>
  <si>
    <t>Pauschale pro Tag</t>
  </si>
  <si>
    <t>3.</t>
  </si>
  <si>
    <t>Dienstleistungen laufender Betrieb</t>
  </si>
  <si>
    <t>3.1</t>
  </si>
  <si>
    <t xml:space="preserve">Servicemanagement für 36 Monate </t>
  </si>
  <si>
    <t>inkl. Supportleistungen</t>
  </si>
  <si>
    <t>monatliche Pauschale</t>
  </si>
  <si>
    <t>3.2</t>
  </si>
  <si>
    <t xml:space="preserve">Servicemanagement für weitere 24 Monate </t>
  </si>
  <si>
    <t>4.</t>
  </si>
  <si>
    <t>Wartung und Softwarepflege Entlassmanagement je Monat</t>
  </si>
  <si>
    <t xml:space="preserve">Einzelpreis
</t>
  </si>
  <si>
    <t>4.1</t>
  </si>
  <si>
    <t>Portal Entlassmanagement für 36 Monate</t>
  </si>
  <si>
    <t xml:space="preserve">inkl. Updates und Upgrades </t>
  </si>
  <si>
    <t>4.2</t>
  </si>
  <si>
    <t>Portal Entlassmanagement für weitere 24 Monate</t>
  </si>
  <si>
    <t>4.3</t>
  </si>
  <si>
    <t>Schnittstellen Anbindung KIS</t>
  </si>
  <si>
    <t>4.3.1</t>
  </si>
  <si>
    <t xml:space="preserve">ADT KIS (Dedalus Orbis)
</t>
  </si>
  <si>
    <t>Schnittstellenwartung</t>
  </si>
  <si>
    <t>4.3.2</t>
  </si>
  <si>
    <t>4.3.3</t>
  </si>
  <si>
    <t>4.3.4</t>
  </si>
  <si>
    <t>5.</t>
  </si>
  <si>
    <t>5.1</t>
  </si>
  <si>
    <t>Customizing</t>
  </si>
  <si>
    <t>Tagessatz</t>
  </si>
  <si>
    <t>5.2</t>
  </si>
  <si>
    <t>Programmierung</t>
  </si>
  <si>
    <t>5.3</t>
  </si>
  <si>
    <t>Schulungen</t>
  </si>
  <si>
    <t>1) Basis-Schulungen für alle Rollen der Auftraggeberin vor Ort und digital.
2) Intensivschulungen für Key User sowie für Administratoren vor Ort.
3) Schulungen für Help-Desk-Mitarbeitende (1st-Level-Spport) vor Ort.</t>
  </si>
  <si>
    <t>Wertungsgesamtpreis =</t>
  </si>
  <si>
    <t>1. Zuschlagkriterien ("Leistung")</t>
  </si>
  <si>
    <t>Bewertung der Leistung:</t>
  </si>
  <si>
    <r>
      <t>Voraussetzung für die Zuschlagserteilung ist, dass alle A-Kriterien der Leistungsanforderungen (Zuschlagskriterien) erfüllt sind.
Das (qualitative) Zuschlagskriterium Leistung L(j) setzt sich zusammen aus den Einzelbewertungen der qualitativen Anforderungen L</t>
    </r>
    <r>
      <rPr>
        <vertAlign val="subscript"/>
        <sz val="9"/>
        <color theme="1"/>
        <rFont val="Trebuchet MS"/>
        <family val="2"/>
      </rPr>
      <t>q</t>
    </r>
    <r>
      <rPr>
        <sz val="9"/>
        <color theme="1"/>
        <rFont val="Trebuchet MS"/>
        <family val="2"/>
      </rPr>
      <t>, den Konzepten L</t>
    </r>
    <r>
      <rPr>
        <vertAlign val="subscript"/>
        <sz val="9"/>
        <color theme="1"/>
        <rFont val="Trebuchet MS"/>
        <family val="2"/>
      </rPr>
      <t>K</t>
    </r>
    <r>
      <rPr>
        <sz val="9"/>
        <color theme="1"/>
        <rFont val="Trebuchet MS"/>
        <family val="2"/>
      </rPr>
      <t xml:space="preserve"> und der Bieterpräsentation L</t>
    </r>
    <r>
      <rPr>
        <vertAlign val="subscript"/>
        <sz val="9"/>
        <color theme="1"/>
        <rFont val="Trebuchet MS"/>
        <family val="2"/>
      </rPr>
      <t>B</t>
    </r>
    <r>
      <rPr>
        <sz val="9"/>
        <color theme="1"/>
        <rFont val="Trebuchet MS"/>
        <family val="2"/>
      </rPr>
      <t>, wobei die Einzelbewertungen mit unterschiedlichen Gewichten (w</t>
    </r>
    <r>
      <rPr>
        <vertAlign val="subscript"/>
        <sz val="9"/>
        <color theme="1"/>
        <rFont val="Trebuchet MS"/>
        <family val="2"/>
      </rPr>
      <t>i</t>
    </r>
    <r>
      <rPr>
        <sz val="9"/>
        <color theme="1"/>
        <rFont val="Trebuchet MS"/>
        <family val="2"/>
      </rPr>
      <t xml:space="preserve">) in die Gesamtwertung einfließen:
</t>
    </r>
  </si>
  <si>
    <r>
      <t>L(j) = w</t>
    </r>
    <r>
      <rPr>
        <i/>
        <vertAlign val="subscript"/>
        <sz val="9"/>
        <color theme="1"/>
        <rFont val="Trebuchet MS"/>
        <family val="2"/>
      </rPr>
      <t>q</t>
    </r>
    <r>
      <rPr>
        <i/>
        <sz val="9"/>
        <color theme="1"/>
        <rFont val="Trebuchet MS"/>
        <family val="2"/>
      </rPr>
      <t xml:space="preserve"> x L</t>
    </r>
    <r>
      <rPr>
        <i/>
        <vertAlign val="subscript"/>
        <sz val="9"/>
        <color theme="1"/>
        <rFont val="Trebuchet MS"/>
        <family val="2"/>
      </rPr>
      <t>q</t>
    </r>
    <r>
      <rPr>
        <i/>
        <sz val="9"/>
        <color theme="1"/>
        <rFont val="Trebuchet MS"/>
        <family val="2"/>
      </rPr>
      <t xml:space="preserve"> / L</t>
    </r>
    <r>
      <rPr>
        <i/>
        <vertAlign val="subscript"/>
        <sz val="9"/>
        <color theme="1"/>
        <rFont val="Trebuchet MS"/>
        <family val="2"/>
      </rPr>
      <t>q</t>
    </r>
    <r>
      <rPr>
        <i/>
        <sz val="9"/>
        <color theme="1"/>
        <rFont val="Trebuchet MS"/>
        <family val="2"/>
      </rPr>
      <t>(max)  + w</t>
    </r>
    <r>
      <rPr>
        <i/>
        <vertAlign val="subscript"/>
        <sz val="9"/>
        <color theme="1"/>
        <rFont val="Trebuchet MS"/>
        <family val="2"/>
      </rPr>
      <t>K</t>
    </r>
    <r>
      <rPr>
        <i/>
        <sz val="9"/>
        <color theme="1"/>
        <rFont val="Trebuchet MS"/>
        <family val="2"/>
      </rPr>
      <t xml:space="preserve"> x L</t>
    </r>
    <r>
      <rPr>
        <i/>
        <vertAlign val="subscript"/>
        <sz val="9"/>
        <color theme="1"/>
        <rFont val="Trebuchet MS"/>
        <family val="2"/>
      </rPr>
      <t>K</t>
    </r>
    <r>
      <rPr>
        <i/>
        <sz val="9"/>
        <color theme="1"/>
        <rFont val="Trebuchet MS"/>
        <family val="2"/>
      </rPr>
      <t xml:space="preserve"> / L</t>
    </r>
    <r>
      <rPr>
        <i/>
        <vertAlign val="subscript"/>
        <sz val="9"/>
        <color theme="1"/>
        <rFont val="Trebuchet MS"/>
        <family val="2"/>
      </rPr>
      <t>K</t>
    </r>
    <r>
      <rPr>
        <i/>
        <sz val="9"/>
        <color theme="1"/>
        <rFont val="Trebuchet MS"/>
        <family val="2"/>
      </rPr>
      <t>(max) + w</t>
    </r>
    <r>
      <rPr>
        <i/>
        <vertAlign val="subscript"/>
        <sz val="9"/>
        <color theme="1"/>
        <rFont val="Trebuchet MS"/>
        <family val="2"/>
      </rPr>
      <t>B</t>
    </r>
    <r>
      <rPr>
        <i/>
        <sz val="9"/>
        <color theme="1"/>
        <rFont val="Trebuchet MS"/>
        <family val="2"/>
      </rPr>
      <t xml:space="preserve"> x L</t>
    </r>
    <r>
      <rPr>
        <i/>
        <vertAlign val="subscript"/>
        <sz val="9"/>
        <color theme="1"/>
        <rFont val="Trebuchet MS"/>
        <family val="2"/>
      </rPr>
      <t>B</t>
    </r>
    <r>
      <rPr>
        <i/>
        <sz val="9"/>
        <color theme="1"/>
        <rFont val="Trebuchet MS"/>
        <family val="2"/>
      </rPr>
      <t xml:space="preserve"> / L</t>
    </r>
    <r>
      <rPr>
        <i/>
        <vertAlign val="subscript"/>
        <sz val="9"/>
        <color theme="1"/>
        <rFont val="Trebuchet MS"/>
        <family val="2"/>
      </rPr>
      <t>B</t>
    </r>
    <r>
      <rPr>
        <i/>
        <sz val="9"/>
        <color theme="1"/>
        <rFont val="Trebuchet MS"/>
        <family val="2"/>
      </rPr>
      <t>(max)</t>
    </r>
  </si>
  <si>
    <r>
      <t>wobei L</t>
    </r>
    <r>
      <rPr>
        <i/>
        <vertAlign val="subscript"/>
        <sz val="9"/>
        <color theme="1"/>
        <rFont val="Trebuchet MS"/>
        <family val="2"/>
      </rPr>
      <t>i</t>
    </r>
    <r>
      <rPr>
        <i/>
        <sz val="9"/>
        <color theme="1"/>
        <rFont val="Trebuchet MS"/>
        <family val="2"/>
      </rPr>
      <t>(max) die maximal erreichbare Punktzahl der jeweiligen Kategorie q, K bzw. B entspricht und es gilt:</t>
    </r>
  </si>
  <si>
    <r>
      <t>L</t>
    </r>
    <r>
      <rPr>
        <i/>
        <vertAlign val="subscript"/>
        <sz val="9"/>
        <color theme="1"/>
        <rFont val="Trebuchet MS"/>
        <family val="2"/>
      </rPr>
      <t>q</t>
    </r>
    <r>
      <rPr>
        <i/>
        <sz val="9"/>
        <color theme="1"/>
        <rFont val="Trebuchet MS"/>
        <family val="2"/>
      </rPr>
      <t xml:space="preserve"> =</t>
    </r>
  </si>
  <si>
    <r>
      <t>L</t>
    </r>
    <r>
      <rPr>
        <i/>
        <vertAlign val="subscript"/>
        <sz val="9"/>
        <color theme="1"/>
        <rFont val="Trebuchet MS"/>
        <family val="2"/>
      </rPr>
      <t>01</t>
    </r>
    <r>
      <rPr>
        <i/>
        <sz val="9"/>
        <color theme="1"/>
        <rFont val="Trebuchet MS"/>
        <family val="2"/>
      </rPr>
      <t xml:space="preserve"> + L</t>
    </r>
    <r>
      <rPr>
        <i/>
        <vertAlign val="subscript"/>
        <sz val="9"/>
        <color theme="1"/>
        <rFont val="Trebuchet MS"/>
        <family val="2"/>
      </rPr>
      <t>02</t>
    </r>
    <r>
      <rPr>
        <i/>
        <sz val="9"/>
        <color theme="1"/>
        <rFont val="Trebuchet MS"/>
        <family val="2"/>
      </rPr>
      <t xml:space="preserve"> + L</t>
    </r>
    <r>
      <rPr>
        <i/>
        <vertAlign val="subscript"/>
        <sz val="9"/>
        <color theme="1"/>
        <rFont val="Trebuchet MS"/>
        <family val="2"/>
      </rPr>
      <t>03</t>
    </r>
    <r>
      <rPr>
        <i/>
        <sz val="9"/>
        <color theme="1"/>
        <rFont val="Trebuchet MS"/>
        <family val="2"/>
      </rPr>
      <t xml:space="preserve"> + L</t>
    </r>
    <r>
      <rPr>
        <i/>
        <vertAlign val="subscript"/>
        <sz val="9"/>
        <color theme="1"/>
        <rFont val="Trebuchet MS"/>
        <family val="2"/>
      </rPr>
      <t>04</t>
    </r>
    <r>
      <rPr>
        <i/>
        <sz val="9"/>
        <color theme="1"/>
        <rFont val="Trebuchet MS"/>
        <family val="2"/>
      </rPr>
      <t xml:space="preserve"> + L</t>
    </r>
    <r>
      <rPr>
        <i/>
        <vertAlign val="subscript"/>
        <sz val="9"/>
        <color theme="1"/>
        <rFont val="Trebuchet MS"/>
        <family val="2"/>
      </rPr>
      <t>05</t>
    </r>
  </si>
  <si>
    <r>
      <t>L</t>
    </r>
    <r>
      <rPr>
        <i/>
        <vertAlign val="subscript"/>
        <sz val="9"/>
        <color theme="1"/>
        <rFont val="Trebuchet MS"/>
        <family val="2"/>
      </rPr>
      <t>q</t>
    </r>
    <r>
      <rPr>
        <i/>
        <sz val="9"/>
        <color theme="1"/>
        <rFont val="Trebuchet MS"/>
        <family val="2"/>
      </rPr>
      <t>(max) =</t>
    </r>
  </si>
  <si>
    <r>
      <t>L</t>
    </r>
    <r>
      <rPr>
        <i/>
        <vertAlign val="subscript"/>
        <sz val="9"/>
        <color theme="1"/>
        <rFont val="Trebuchet MS"/>
        <family val="2"/>
      </rPr>
      <t>01</t>
    </r>
    <r>
      <rPr>
        <i/>
        <sz val="9"/>
        <color theme="1"/>
        <rFont val="Trebuchet MS"/>
        <family val="2"/>
      </rPr>
      <t>(max)+ L</t>
    </r>
    <r>
      <rPr>
        <i/>
        <vertAlign val="subscript"/>
        <sz val="9"/>
        <color theme="1"/>
        <rFont val="Trebuchet MS"/>
        <family val="2"/>
      </rPr>
      <t>02</t>
    </r>
    <r>
      <rPr>
        <i/>
        <sz val="9"/>
        <color theme="1"/>
        <rFont val="Trebuchet MS"/>
        <family val="2"/>
      </rPr>
      <t>(max) + L</t>
    </r>
    <r>
      <rPr>
        <i/>
        <vertAlign val="subscript"/>
        <sz val="9"/>
        <color theme="1"/>
        <rFont val="Trebuchet MS"/>
        <family val="2"/>
      </rPr>
      <t>03</t>
    </r>
    <r>
      <rPr>
        <i/>
        <sz val="9"/>
        <color theme="1"/>
        <rFont val="Trebuchet MS"/>
        <family val="2"/>
      </rPr>
      <t>(max) + L</t>
    </r>
    <r>
      <rPr>
        <i/>
        <vertAlign val="subscript"/>
        <sz val="9"/>
        <color theme="1"/>
        <rFont val="Trebuchet MS"/>
        <family val="2"/>
      </rPr>
      <t>04</t>
    </r>
    <r>
      <rPr>
        <i/>
        <sz val="9"/>
        <color theme="1"/>
        <rFont val="Trebuchet MS"/>
        <family val="2"/>
      </rPr>
      <t>(max) + L</t>
    </r>
    <r>
      <rPr>
        <i/>
        <vertAlign val="subscript"/>
        <sz val="9"/>
        <color theme="1"/>
        <rFont val="Trebuchet MS"/>
        <family val="2"/>
      </rPr>
      <t>05</t>
    </r>
    <r>
      <rPr>
        <i/>
        <sz val="9"/>
        <color theme="1"/>
        <rFont val="Trebuchet MS"/>
        <family val="2"/>
      </rPr>
      <t>(max)</t>
    </r>
  </si>
  <si>
    <t>Für die Gewichtungsfaktoren gilt:</t>
  </si>
  <si>
    <r>
      <t>w</t>
    </r>
    <r>
      <rPr>
        <i/>
        <vertAlign val="subscript"/>
        <sz val="9"/>
        <color theme="1"/>
        <rFont val="Trebuchet MS"/>
        <family val="2"/>
      </rPr>
      <t>q</t>
    </r>
    <r>
      <rPr>
        <i/>
        <sz val="9"/>
        <color theme="1"/>
        <rFont val="Trebuchet MS"/>
        <family val="2"/>
      </rPr>
      <t xml:space="preserve"> =</t>
    </r>
  </si>
  <si>
    <r>
      <t>w</t>
    </r>
    <r>
      <rPr>
        <i/>
        <vertAlign val="subscript"/>
        <sz val="9"/>
        <color theme="1"/>
        <rFont val="Trebuchet MS"/>
        <family val="2"/>
      </rPr>
      <t>K</t>
    </r>
    <r>
      <rPr>
        <i/>
        <sz val="9"/>
        <color theme="1"/>
        <rFont val="Trebuchet MS"/>
        <family val="2"/>
      </rPr>
      <t xml:space="preserve"> =</t>
    </r>
  </si>
  <si>
    <r>
      <t>w</t>
    </r>
    <r>
      <rPr>
        <i/>
        <vertAlign val="subscript"/>
        <sz val="9"/>
        <color theme="1"/>
        <rFont val="Trebuchet MS"/>
        <family val="2"/>
      </rPr>
      <t>B</t>
    </r>
    <r>
      <rPr>
        <i/>
        <sz val="9"/>
        <color theme="1"/>
        <rFont val="Trebuchet MS"/>
        <family val="2"/>
      </rPr>
      <t xml:space="preserve"> =</t>
    </r>
  </si>
  <si>
    <t>Bewertung der Einzelleistungen:</t>
  </si>
  <si>
    <t>i</t>
  </si>
  <si>
    <t xml:space="preserve">Check (Details siehe Anmerkungen) </t>
  </si>
  <si>
    <r>
      <t>erreichte Punkte L</t>
    </r>
    <r>
      <rPr>
        <b/>
        <i/>
        <vertAlign val="subscript"/>
        <sz val="9"/>
        <color theme="1"/>
        <rFont val="Trebuchet MS"/>
        <family val="2"/>
      </rPr>
      <t>i</t>
    </r>
  </si>
  <si>
    <r>
      <t>maximal erreichbare Punkte L</t>
    </r>
    <r>
      <rPr>
        <b/>
        <i/>
        <vertAlign val="subscript"/>
        <sz val="9"/>
        <color theme="1"/>
        <rFont val="Trebuchet MS"/>
        <family val="2"/>
      </rPr>
      <t>i</t>
    </r>
    <r>
      <rPr>
        <b/>
        <i/>
        <sz val="9"/>
        <color theme="1"/>
        <rFont val="Trebuchet MS"/>
        <family val="2"/>
      </rPr>
      <t xml:space="preserve"> (max)</t>
    </r>
  </si>
  <si>
    <r>
      <t>Anteil an max. erreichbaren Punkten L</t>
    </r>
    <r>
      <rPr>
        <b/>
        <i/>
        <vertAlign val="subscript"/>
        <sz val="9"/>
        <color theme="1"/>
        <rFont val="Trebuchet MS"/>
        <family val="2"/>
      </rPr>
      <t>i</t>
    </r>
    <r>
      <rPr>
        <b/>
        <i/>
        <sz val="9"/>
        <color theme="1"/>
        <rFont val="Trebuchet MS"/>
        <family val="2"/>
      </rPr>
      <t>/L</t>
    </r>
    <r>
      <rPr>
        <b/>
        <i/>
        <vertAlign val="subscript"/>
        <sz val="9"/>
        <color theme="1"/>
        <rFont val="Trebuchet MS"/>
        <family val="2"/>
      </rPr>
      <t>i</t>
    </r>
    <r>
      <rPr>
        <b/>
        <i/>
        <sz val="9"/>
        <color theme="1"/>
        <rFont val="Trebuchet MS"/>
        <family val="2"/>
      </rPr>
      <t xml:space="preserve"> (max)</t>
    </r>
  </si>
  <si>
    <t>Anmerkung</t>
  </si>
  <si>
    <t>01: KHZG Kriterien</t>
  </si>
  <si>
    <t>--</t>
  </si>
  <si>
    <t>02: Generelle Anforderungen</t>
  </si>
  <si>
    <t>03: Basisfunktionalitäten</t>
  </si>
  <si>
    <t>04: Funktionale Anforderungen</t>
  </si>
  <si>
    <t>05: Datenschutz und Informationssicherheit</t>
  </si>
  <si>
    <t>q: qualitative Anforderungen</t>
  </si>
  <si>
    <t>K: Konzepte</t>
  </si>
  <si>
    <t>B: Bieterpräsentation</t>
  </si>
  <si>
    <t>L(j): Leistung</t>
  </si>
  <si>
    <t>2. Preis</t>
  </si>
  <si>
    <t>3. Zuschlag</t>
  </si>
  <si>
    <t>Voraussetzung für die Zuschlagserteilung ist, dass alle A-Kriterien der Eignungskriterien und alle A-Kriterien der Leistungsanforderungen (Zuschlagskriterien) erfüllt sind.
Der Zuschlag wird dann auf das wirtschaftlichste Angebot erteilt. Ausschlaggebend sind hierbei die Kriterien „Preis“ und „Leistung“. Dabei wird der Preis eines jeden Angebotes ins Verhältnis zum Preis des günstigsten, abgegebenen Angebotes gesetzt sowie die erreichten Leistungspunkte ins Verhältnis zu den maximal zu erreichenden Leistungspunkten. Über Gewichtungsfaktoren ist festgelgt in welchem Verhältnis die Preis- bzw. Leistungskomponente in das Gesamtergebnis bzw. die Kennzahl Z eingeht. Das wirtschaftlichste Angebot ist dasjenige mit der höchsten Kennzahl Z (Wertebereich {0 &lt; Z &lt;= 1}).
Die Errechnung der Kennzahl Z(j) des Angebots (j) erfolgt mit der folgenden Formel: Z(j) = w(L) * L(j) / L(max) + w(P) * P(min) / P(j)</t>
  </si>
  <si>
    <t>Gewichtungsfaktor Leistung w(L)</t>
  </si>
  <si>
    <t>Leistung L(j)</t>
  </si>
  <si>
    <t>max. erreichbare Leistung L (max) =</t>
  </si>
  <si>
    <t>Gewichtungsfaktor Preis w(P)</t>
  </si>
  <si>
    <t>Wertungsgesamtpreis P(j)</t>
  </si>
  <si>
    <t>Wertungsgesamtpreis günstigstes Angebot P(min) =</t>
  </si>
  <si>
    <t>Wird durch Auftraggeberin ausgefüllt.</t>
  </si>
  <si>
    <t>Kennzahl Z(j) =</t>
  </si>
  <si>
    <t>Projektmanagement</t>
  </si>
  <si>
    <t>Leistungsumfang siehe Leistungsbeschreibung Kapitel 8.</t>
  </si>
  <si>
    <r>
      <t xml:space="preserve">Ratecard für Change Requests
</t>
    </r>
    <r>
      <rPr>
        <i/>
        <sz val="9"/>
        <color theme="1"/>
        <rFont val="Trebuchet MS"/>
        <family val="2"/>
      </rPr>
      <t>(Preisbindung für 60 Monate. Es besteht keine Verpflichtung zum Abruf dieser Positionen.)</t>
    </r>
  </si>
  <si>
    <t>Nur die hellgrün umrandeten Felder sind von dem/r Bieter/in auszufüllen. Preise sind mit maximal 2 Nachkommastellen einzutragen. Die Spalte "Pflicht/Option" gibt Auskunft über die Pflicht- und Optionalleistungen. Pflichtleistungen sind mit einem "P" und Optionalleistungen  mit einen "O" gekennzeichnet; es besteht keine Verpflichtung zum Abruf der Optionalleistungen. Bitte geben Sie sowohl für Pflicht- als auch Optionalleistungen Preise an.
Schnittstellenkosten seitens des KIS-Systems ORBIS oder der OeHS von x-tention sind nicht Bestanteil des Angebotes.
Für die Bewertung des Angebotes ist der Wertungsgesamtpreis relevant. Dieser berücksichtigt alle Pflichtleistungen.</t>
  </si>
  <si>
    <t>vergabe@battke-gruenberg.de</t>
  </si>
  <si>
    <t>Vergabe 2/2025</t>
  </si>
  <si>
    <t>Das angebotene Produkt wird in mindestens zwei räumlich getrennten Rechenzentren (unterschiedliche Standorte, Geo- oder Betriebsredundanz) im EU- oder EWR-Raum betrieben.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</si>
</sst>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0.00\ &quot;€&quot;"/>
    <numFmt numFmtId="44" formatCode="_-* #,##0.00\ &quot;€&quot;_-;\-* #,##0.00\ &quot;€&quot;_-;_-* &quot;-&quot;??\ &quot;€&quot;_-;_-@_-"/>
    <numFmt numFmtId="164" formatCode="0.00000"/>
    <numFmt numFmtId="165" formatCode="#,##0.00\ &quot;€&quot;"/>
    <numFmt numFmtId="166" formatCode="#,##0.0000\ &quot;€&quot;"/>
    <numFmt numFmtId="167" formatCode="0.000000"/>
  </numFmts>
  <fonts count="51">
    <font>
      <sz val="11"/>
      <color theme="1"/>
      <name val="Calibri"/>
      <family val="2"/>
      <scheme val="minor"/>
    </font>
    <font>
      <sz val="10"/>
      <name val="Arial"/>
      <family val="2"/>
    </font>
    <font>
      <sz val="10"/>
      <name val="Arial"/>
      <family val="2"/>
    </font>
    <font>
      <sz val="11"/>
      <color theme="1"/>
      <name val="Calibri"/>
      <family val="2"/>
      <scheme val="minor"/>
    </font>
    <font>
      <sz val="10"/>
      <color rgb="FF000000"/>
      <name val="Arial"/>
      <family val="2"/>
    </font>
    <font>
      <sz val="8"/>
      <name val="Calibri"/>
      <family val="2"/>
      <scheme val="minor"/>
    </font>
    <font>
      <u/>
      <sz val="11"/>
      <color theme="10"/>
      <name val="Calibri"/>
      <family val="2"/>
      <scheme val="minor"/>
    </font>
    <font>
      <sz val="12"/>
      <color theme="1"/>
      <name val="Calibri"/>
      <family val="2"/>
      <scheme val="minor"/>
    </font>
    <font>
      <b/>
      <sz val="14"/>
      <color theme="1"/>
      <name val="Trebuchet MS"/>
      <family val="2"/>
    </font>
    <font>
      <b/>
      <sz val="14"/>
      <color theme="0"/>
      <name val="Trebuchet MS"/>
      <family val="2"/>
    </font>
    <font>
      <sz val="14"/>
      <color theme="1"/>
      <name val="Trebuchet MS"/>
      <family val="2"/>
    </font>
    <font>
      <i/>
      <sz val="14"/>
      <color theme="0"/>
      <name val="Trebuchet MS"/>
      <family val="2"/>
    </font>
    <font>
      <b/>
      <sz val="14"/>
      <color rgb="FF1E466E"/>
      <name val="Trebuchet MS"/>
      <family val="2"/>
    </font>
    <font>
      <sz val="9"/>
      <color theme="1"/>
      <name val="Trebuchet MS"/>
      <family val="2"/>
    </font>
    <font>
      <i/>
      <sz val="9"/>
      <color theme="0"/>
      <name val="Trebuchet MS"/>
      <family val="2"/>
    </font>
    <font>
      <i/>
      <sz val="9"/>
      <color theme="1"/>
      <name val="Trebuchet MS"/>
      <family val="2"/>
    </font>
    <font>
      <b/>
      <sz val="9"/>
      <color theme="0"/>
      <name val="Trebuchet MS"/>
      <family val="2"/>
    </font>
    <font>
      <b/>
      <sz val="9"/>
      <color theme="1"/>
      <name val="Trebuchet MS"/>
      <family val="2"/>
    </font>
    <font>
      <b/>
      <sz val="9"/>
      <name val="Trebuchet MS"/>
      <family val="2"/>
    </font>
    <font>
      <i/>
      <sz val="9"/>
      <name val="Trebuchet MS"/>
      <family val="2"/>
    </font>
    <font>
      <i/>
      <sz val="9"/>
      <color theme="1" tint="0.499984740745262"/>
      <name val="Trebuchet MS"/>
      <family val="2"/>
    </font>
    <font>
      <b/>
      <i/>
      <sz val="9"/>
      <name val="Trebuchet MS"/>
      <family val="2"/>
    </font>
    <font>
      <sz val="9"/>
      <name val="Trebuchet MS"/>
      <family val="2"/>
    </font>
    <font>
      <sz val="9"/>
      <color rgb="FF1E466E"/>
      <name val="Trebuchet MS"/>
      <family val="2"/>
    </font>
    <font>
      <sz val="9"/>
      <color theme="0"/>
      <name val="Trebuchet MS"/>
      <family val="2"/>
    </font>
    <font>
      <b/>
      <sz val="9"/>
      <color rgb="FF1E466E"/>
      <name val="Trebuchet MS"/>
      <family val="2"/>
    </font>
    <font>
      <b/>
      <i/>
      <sz val="9"/>
      <color theme="1" tint="0.499984740745262"/>
      <name val="Trebuchet MS"/>
      <family val="2"/>
    </font>
    <font>
      <b/>
      <sz val="9"/>
      <color rgb="FFFF0000"/>
      <name val="Trebuchet MS"/>
      <family val="2"/>
    </font>
    <font>
      <b/>
      <i/>
      <sz val="14"/>
      <color theme="1" tint="0.499984740745262"/>
      <name val="Trebuchet MS"/>
      <family val="2"/>
    </font>
    <font>
      <i/>
      <sz val="14"/>
      <color theme="1" tint="0.499984740745262"/>
      <name val="Trebuchet MS"/>
      <family val="2"/>
    </font>
    <font>
      <i/>
      <sz val="14"/>
      <color theme="1"/>
      <name val="Trebuchet MS"/>
      <family val="2"/>
    </font>
    <font>
      <b/>
      <i/>
      <sz val="9"/>
      <color rgb="FFFF0000"/>
      <name val="Trebuchet MS"/>
      <family val="2"/>
    </font>
    <font>
      <u/>
      <sz val="9"/>
      <color theme="10"/>
      <name val="Trebuchet MS"/>
      <family val="2"/>
    </font>
    <font>
      <i/>
      <sz val="9"/>
      <color rgb="FFFF0000"/>
      <name val="Trebuchet MS"/>
      <family val="2"/>
    </font>
    <font>
      <i/>
      <vertAlign val="subscript"/>
      <sz val="9"/>
      <color theme="1"/>
      <name val="Trebuchet MS"/>
      <family val="2"/>
    </font>
    <font>
      <sz val="9"/>
      <color rgb="FFFF0000"/>
      <name val="Trebuchet MS"/>
      <family val="2"/>
    </font>
    <font>
      <sz val="9"/>
      <color rgb="FF000000"/>
      <name val="Trebuchet MS"/>
      <family val="2"/>
    </font>
    <font>
      <b/>
      <sz val="9"/>
      <color rgb="FF000000"/>
      <name val="Trebuchet MS"/>
      <family val="2"/>
    </font>
    <font>
      <b/>
      <i/>
      <sz val="9"/>
      <color rgb="FF000000"/>
      <name val="Trebuchet MS"/>
      <family val="2"/>
    </font>
    <font>
      <sz val="11"/>
      <color rgb="FF000000"/>
      <name val="Calibri"/>
      <family val="2"/>
      <scheme val="minor"/>
    </font>
    <font>
      <sz val="9"/>
      <color theme="1"/>
      <name val="Trebuchet MS"/>
      <family val="2"/>
    </font>
    <font>
      <sz val="14"/>
      <color theme="1"/>
      <name val="Trebuchet MS"/>
      <family val="2"/>
    </font>
    <font>
      <vertAlign val="subscript"/>
      <sz val="9"/>
      <color theme="1"/>
      <name val="Trebuchet MS"/>
      <family val="2"/>
    </font>
    <font>
      <b/>
      <i/>
      <sz val="9"/>
      <color theme="1"/>
      <name val="Trebuchet MS"/>
      <family val="2"/>
    </font>
    <font>
      <b/>
      <i/>
      <vertAlign val="subscript"/>
      <sz val="9"/>
      <color theme="1"/>
      <name val="Trebuchet MS"/>
      <family val="2"/>
    </font>
    <font>
      <sz val="9"/>
      <color rgb="FF000000"/>
      <name val="Trebuchet MS"/>
    </font>
    <font>
      <sz val="9"/>
      <color rgb="FF4FFF5A"/>
      <name val="Trebuchet MS"/>
      <family val="2"/>
    </font>
    <font>
      <i/>
      <u/>
      <sz val="9"/>
      <color theme="1"/>
      <name val="Trebuchet MS"/>
      <family val="2"/>
    </font>
    <font>
      <b/>
      <sz val="9"/>
      <color rgb="FF000000"/>
      <name val="Trebuchet MS"/>
    </font>
    <font>
      <i/>
      <sz val="9"/>
      <color rgb="FF000000"/>
      <name val="Trebuchet MS"/>
      <family val="2"/>
    </font>
    <font>
      <sz val="10"/>
      <color theme="1"/>
      <name val="Trebuchet MS"/>
      <family val="2"/>
    </font>
  </fonts>
  <fills count="17">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7C0DA"/>
        <bgColor indexed="64"/>
      </patternFill>
    </fill>
    <fill>
      <patternFill patternType="solid">
        <fgColor rgb="FF4FFF5A"/>
        <bgColor indexed="64"/>
      </patternFill>
    </fill>
    <fill>
      <patternFill patternType="solid">
        <fgColor rgb="FF1D466E"/>
        <bgColor indexed="64"/>
      </patternFill>
    </fill>
    <fill>
      <patternFill patternType="solid">
        <fgColor rgb="FFA7B5C6"/>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rgb="FFADCB52"/>
        <bgColor indexed="64"/>
      </patternFill>
    </fill>
    <fill>
      <patternFill patternType="solid">
        <fgColor rgb="FFF2F2F2"/>
        <bgColor rgb="FF000000"/>
      </patternFill>
    </fill>
    <fill>
      <patternFill patternType="solid">
        <fgColor rgb="FF1E466E"/>
        <bgColor indexed="64"/>
      </patternFill>
    </fill>
  </fills>
  <borders count="11">
    <border>
      <left/>
      <right/>
      <top/>
      <bottom/>
      <diagonal/>
    </border>
    <border>
      <left/>
      <right/>
      <top style="thin">
        <color indexed="64"/>
      </top>
      <bottom/>
      <diagonal/>
    </border>
    <border>
      <left/>
      <right/>
      <top/>
      <bottom style="medium">
        <color indexed="64"/>
      </bottom>
      <diagonal/>
    </border>
    <border>
      <left style="thin">
        <color rgb="FF4FFF5A"/>
      </left>
      <right style="thin">
        <color rgb="FF4FFF5A"/>
      </right>
      <top style="thin">
        <color rgb="FF4FFF5A"/>
      </top>
      <bottom style="thin">
        <color rgb="FF4FFF5A"/>
      </bottom>
      <diagonal/>
    </border>
    <border>
      <left style="thin">
        <color rgb="FF4FFF5A"/>
      </left>
      <right/>
      <top/>
      <bottom/>
      <diagonal/>
    </border>
    <border>
      <left style="thin">
        <color rgb="FF4FFF5A"/>
      </left>
      <right/>
      <top style="thin">
        <color rgb="FF4FFF5A"/>
      </top>
      <bottom style="thin">
        <color rgb="FF4FFF5A"/>
      </bottom>
      <diagonal/>
    </border>
    <border>
      <left/>
      <right/>
      <top style="thin">
        <color rgb="FF4FFF5A"/>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2" fillId="0" borderId="0"/>
    <xf numFmtId="0" fontId="4" fillId="0" borderId="0"/>
    <xf numFmtId="0" fontId="1" fillId="0" borderId="0"/>
    <xf numFmtId="0" fontId="3" fillId="0" borderId="0"/>
    <xf numFmtId="44" fontId="3" fillId="0" borderId="0" applyFont="0" applyFill="0" applyBorder="0" applyAlignment="0" applyProtection="0"/>
    <xf numFmtId="0" fontId="6" fillId="0" borderId="0" applyNumberFormat="0" applyFill="0" applyBorder="0" applyAlignment="0" applyProtection="0"/>
    <xf numFmtId="9" fontId="3" fillId="0" borderId="0" applyFont="0" applyFill="0" applyBorder="0" applyAlignment="0" applyProtection="0"/>
    <xf numFmtId="0" fontId="7" fillId="0" borderId="0"/>
    <xf numFmtId="0" fontId="1" fillId="0" borderId="0"/>
    <xf numFmtId="0" fontId="6" fillId="0" borderId="0" applyNumberFormat="0" applyFill="0" applyBorder="0" applyAlignment="0" applyProtection="0"/>
  </cellStyleXfs>
  <cellXfs count="385">
    <xf numFmtId="0" fontId="0" fillId="0" borderId="0" xfId="0"/>
    <xf numFmtId="0" fontId="10" fillId="0" borderId="0" xfId="0" applyFont="1" applyAlignment="1">
      <alignment vertical="top"/>
    </xf>
    <xf numFmtId="0" fontId="10" fillId="0" borderId="0" xfId="0" applyFont="1"/>
    <xf numFmtId="0" fontId="10" fillId="0" borderId="0" xfId="0" applyFont="1" applyAlignment="1">
      <alignment vertical="top" wrapText="1"/>
    </xf>
    <xf numFmtId="0" fontId="9" fillId="10" borderId="0" xfId="0" applyFont="1" applyFill="1" applyAlignment="1">
      <alignment vertical="top"/>
    </xf>
    <xf numFmtId="0" fontId="11" fillId="10" borderId="0" xfId="0" applyFont="1" applyFill="1" applyAlignment="1">
      <alignment vertical="top" wrapText="1"/>
    </xf>
    <xf numFmtId="0" fontId="9" fillId="10" borderId="0" xfId="0" applyFont="1" applyFill="1" applyAlignment="1">
      <alignment horizontal="left"/>
    </xf>
    <xf numFmtId="0" fontId="14" fillId="10" borderId="0" xfId="0" applyFont="1" applyFill="1" applyAlignment="1">
      <alignment horizontal="left" vertical="top"/>
    </xf>
    <xf numFmtId="0" fontId="13" fillId="0" borderId="0" xfId="0" applyFont="1" applyAlignment="1">
      <alignment wrapText="1"/>
    </xf>
    <xf numFmtId="0" fontId="15" fillId="0" borderId="0" xfId="0" applyFont="1" applyAlignment="1">
      <alignment wrapText="1"/>
    </xf>
    <xf numFmtId="0" fontId="13" fillId="0" borderId="0" xfId="0" applyFont="1" applyAlignment="1">
      <alignment vertical="top" wrapText="1"/>
    </xf>
    <xf numFmtId="0" fontId="17" fillId="7" borderId="0" xfId="0" applyFont="1" applyFill="1" applyAlignment="1">
      <alignment vertical="top" wrapText="1"/>
    </xf>
    <xf numFmtId="0" fontId="13" fillId="10" borderId="0" xfId="0" applyFont="1" applyFill="1"/>
    <xf numFmtId="0" fontId="14" fillId="10" borderId="0" xfId="0" applyFont="1" applyFill="1" applyAlignment="1">
      <alignment vertical="top"/>
    </xf>
    <xf numFmtId="0" fontId="20" fillId="0" borderId="0" xfId="0" applyFont="1"/>
    <xf numFmtId="0" fontId="13" fillId="0" borderId="0" xfId="0" applyFont="1"/>
    <xf numFmtId="0" fontId="13" fillId="10" borderId="0" xfId="0" applyFont="1" applyFill="1" applyAlignment="1">
      <alignment horizontal="center"/>
    </xf>
    <xf numFmtId="0" fontId="16" fillId="10" borderId="0" xfId="0" applyFont="1" applyFill="1"/>
    <xf numFmtId="0" fontId="16" fillId="10" borderId="0" xfId="0" applyFont="1" applyFill="1" applyAlignment="1">
      <alignment horizontal="center"/>
    </xf>
    <xf numFmtId="0" fontId="17" fillId="0" borderId="0" xfId="0" applyFont="1"/>
    <xf numFmtId="0" fontId="13" fillId="0" borderId="0" xfId="0" applyFont="1" applyAlignment="1">
      <alignment horizontal="center"/>
    </xf>
    <xf numFmtId="0" fontId="23" fillId="10" borderId="0" xfId="0" applyFont="1" applyFill="1" applyAlignment="1">
      <alignment vertical="top"/>
    </xf>
    <xf numFmtId="0" fontId="24" fillId="10" borderId="0" xfId="0" applyFont="1" applyFill="1" applyAlignment="1">
      <alignment vertical="top"/>
    </xf>
    <xf numFmtId="0" fontId="23" fillId="10" borderId="0" xfId="0" applyFont="1" applyFill="1"/>
    <xf numFmtId="2" fontId="13" fillId="10" borderId="0" xfId="0" applyNumberFormat="1" applyFont="1" applyFill="1"/>
    <xf numFmtId="0" fontId="25" fillId="10" borderId="0" xfId="0" applyFont="1" applyFill="1"/>
    <xf numFmtId="2" fontId="16" fillId="10" borderId="0" xfId="0" applyNumberFormat="1" applyFont="1" applyFill="1"/>
    <xf numFmtId="0" fontId="26" fillId="0" borderId="0" xfId="0" applyFont="1"/>
    <xf numFmtId="0" fontId="17" fillId="3" borderId="0" xfId="0" applyFont="1" applyFill="1"/>
    <xf numFmtId="0" fontId="19" fillId="3" borderId="0" xfId="0" applyFont="1" applyFill="1" applyAlignment="1">
      <alignment horizontal="left"/>
    </xf>
    <xf numFmtId="0" fontId="27" fillId="3" borderId="0" xfId="0" applyFont="1" applyFill="1" applyAlignment="1">
      <alignment horizontal="left"/>
    </xf>
    <xf numFmtId="0" fontId="27" fillId="3" borderId="0" xfId="0" applyFont="1" applyFill="1" applyAlignment="1">
      <alignment wrapText="1"/>
    </xf>
    <xf numFmtId="0" fontId="13" fillId="3" borderId="0" xfId="0" applyFont="1" applyFill="1"/>
    <xf numFmtId="2" fontId="13" fillId="3" borderId="0" xfId="0" applyNumberFormat="1" applyFont="1" applyFill="1"/>
    <xf numFmtId="0" fontId="26" fillId="6" borderId="0" xfId="0" applyFont="1" applyFill="1"/>
    <xf numFmtId="0" fontId="13" fillId="5" borderId="0" xfId="0" applyFont="1" applyFill="1"/>
    <xf numFmtId="0" fontId="16" fillId="2" borderId="0" xfId="0" applyFont="1" applyFill="1" applyAlignment="1">
      <alignment horizontal="center" vertical="top" wrapText="1"/>
    </xf>
    <xf numFmtId="0" fontId="16" fillId="2" borderId="0" xfId="0" applyFont="1" applyFill="1" applyAlignment="1">
      <alignment vertical="top" wrapText="1"/>
    </xf>
    <xf numFmtId="2" fontId="16" fillId="2" borderId="0" xfId="0" applyNumberFormat="1" applyFont="1" applyFill="1" applyAlignment="1">
      <alignment horizontal="center" vertical="top"/>
    </xf>
    <xf numFmtId="2" fontId="16" fillId="2" borderId="0" xfId="0" applyNumberFormat="1" applyFont="1" applyFill="1" applyAlignment="1">
      <alignment horizontal="center" vertical="top" wrapText="1"/>
    </xf>
    <xf numFmtId="0" fontId="20" fillId="3" borderId="0" xfId="0" applyFont="1" applyFill="1" applyAlignment="1">
      <alignment horizontal="center" vertical="center" wrapText="1"/>
    </xf>
    <xf numFmtId="0" fontId="20" fillId="3" borderId="0" xfId="0" applyFont="1" applyFill="1" applyAlignment="1">
      <alignment horizontal="center" vertical="center"/>
    </xf>
    <xf numFmtId="0" fontId="13" fillId="0" borderId="0" xfId="0" applyFont="1" applyAlignment="1">
      <alignment horizontal="center" vertical="top"/>
    </xf>
    <xf numFmtId="0" fontId="24" fillId="10" borderId="0" xfId="0" applyFont="1" applyFill="1" applyAlignment="1">
      <alignment vertical="top" wrapText="1"/>
    </xf>
    <xf numFmtId="0" fontId="13" fillId="0" borderId="0" xfId="0" applyFont="1" applyAlignment="1">
      <alignment vertical="top"/>
    </xf>
    <xf numFmtId="0" fontId="14" fillId="10" borderId="0" xfId="0" applyFont="1" applyFill="1" applyAlignment="1">
      <alignment vertical="top" wrapText="1"/>
    </xf>
    <xf numFmtId="0" fontId="14" fillId="0" borderId="0" xfId="0" applyFont="1" applyAlignment="1">
      <alignment vertical="top"/>
    </xf>
    <xf numFmtId="0" fontId="14" fillId="10" borderId="0" xfId="0" applyFont="1" applyFill="1" applyAlignment="1">
      <alignment horizontal="left" vertical="top" wrapText="1"/>
    </xf>
    <xf numFmtId="0" fontId="16" fillId="10" borderId="0" xfId="0" applyFont="1" applyFill="1" applyAlignment="1">
      <alignment vertical="top"/>
    </xf>
    <xf numFmtId="0" fontId="19" fillId="3" borderId="0" xfId="0" applyFont="1" applyFill="1" applyAlignment="1">
      <alignment vertical="top"/>
    </xf>
    <xf numFmtId="0" fontId="13" fillId="3" borderId="0" xfId="0" applyFont="1" applyFill="1" applyAlignment="1">
      <alignment horizontal="center" vertical="top"/>
    </xf>
    <xf numFmtId="0" fontId="13" fillId="3" borderId="0" xfId="0" applyFont="1" applyFill="1" applyAlignment="1">
      <alignment vertical="top"/>
    </xf>
    <xf numFmtId="0" fontId="20" fillId="0" borderId="0" xfId="0" applyFont="1" applyAlignment="1">
      <alignment vertical="top"/>
    </xf>
    <xf numFmtId="0" fontId="23" fillId="0" borderId="0" xfId="0" applyFont="1" applyAlignment="1">
      <alignment vertical="top"/>
    </xf>
    <xf numFmtId="0" fontId="17" fillId="7" borderId="0" xfId="0" applyFont="1" applyFill="1" applyAlignment="1">
      <alignment vertical="top"/>
    </xf>
    <xf numFmtId="0" fontId="13" fillId="3" borderId="0" xfId="0" applyFont="1" applyFill="1" applyAlignment="1">
      <alignment vertical="top" wrapText="1"/>
    </xf>
    <xf numFmtId="0" fontId="13" fillId="7" borderId="0" xfId="0" applyFont="1" applyFill="1" applyAlignment="1">
      <alignment vertical="top" wrapText="1"/>
    </xf>
    <xf numFmtId="0" fontId="13" fillId="0" borderId="0" xfId="0" applyFont="1" applyAlignment="1">
      <alignment horizontal="justify" vertical="top"/>
    </xf>
    <xf numFmtId="0" fontId="15" fillId="0" borderId="0" xfId="0" applyFont="1" applyAlignment="1">
      <alignment vertical="top" wrapText="1"/>
    </xf>
    <xf numFmtId="0" fontId="14" fillId="8" borderId="0" xfId="0" applyFont="1" applyFill="1" applyAlignment="1">
      <alignment horizontal="left" vertical="top"/>
    </xf>
    <xf numFmtId="0" fontId="15" fillId="0" borderId="0" xfId="0" applyFont="1"/>
    <xf numFmtId="0" fontId="14" fillId="8" borderId="0" xfId="0" applyFont="1" applyFill="1" applyAlignment="1">
      <alignment vertical="top" wrapText="1"/>
    </xf>
    <xf numFmtId="0" fontId="14" fillId="8" borderId="0" xfId="0" applyFont="1" applyFill="1" applyAlignment="1">
      <alignment horizontal="left" vertical="top" wrapText="1"/>
    </xf>
    <xf numFmtId="0" fontId="24" fillId="8" borderId="0" xfId="0" applyFont="1" applyFill="1" applyAlignment="1">
      <alignment vertical="top"/>
    </xf>
    <xf numFmtId="0" fontId="14" fillId="8" borderId="0" xfId="0" applyFont="1" applyFill="1" applyAlignment="1">
      <alignment vertical="top"/>
    </xf>
    <xf numFmtId="0" fontId="13" fillId="0" borderId="0" xfId="0" applyFont="1" applyAlignment="1" applyProtection="1">
      <alignment vertical="top" wrapText="1"/>
      <protection locked="0"/>
    </xf>
    <xf numFmtId="0" fontId="13" fillId="0" borderId="0" xfId="0" applyFont="1" applyAlignment="1" applyProtection="1">
      <alignment horizontal="center" vertical="top"/>
      <protection locked="0"/>
    </xf>
    <xf numFmtId="0" fontId="17" fillId="7" borderId="0" xfId="0" applyFont="1" applyFill="1"/>
    <xf numFmtId="0" fontId="13" fillId="7" borderId="0" xfId="0" applyFont="1" applyFill="1"/>
    <xf numFmtId="0" fontId="24" fillId="10" borderId="0" xfId="0" applyFont="1" applyFill="1"/>
    <xf numFmtId="0" fontId="14" fillId="10" borderId="0" xfId="0" applyFont="1" applyFill="1" applyAlignment="1">
      <alignment horizontal="left"/>
    </xf>
    <xf numFmtId="0" fontId="9" fillId="10" borderId="0" xfId="0" applyFont="1" applyFill="1"/>
    <xf numFmtId="0" fontId="9" fillId="0" borderId="0" xfId="0" applyFont="1"/>
    <xf numFmtId="0" fontId="29" fillId="0" borderId="0" xfId="0" applyFont="1"/>
    <xf numFmtId="0" fontId="16" fillId="0" borderId="0" xfId="0" applyFont="1"/>
    <xf numFmtId="0" fontId="13" fillId="3" borderId="0" xfId="0" applyFont="1" applyFill="1" applyAlignment="1">
      <alignment wrapText="1"/>
    </xf>
    <xf numFmtId="0" fontId="16" fillId="10" borderId="2" xfId="0" applyFont="1" applyFill="1" applyBorder="1"/>
    <xf numFmtId="0" fontId="16" fillId="10" borderId="2" xfId="0" applyFont="1" applyFill="1" applyBorder="1" applyAlignment="1">
      <alignment vertical="top"/>
    </xf>
    <xf numFmtId="0" fontId="13" fillId="3" borderId="2" xfId="0" applyFont="1" applyFill="1" applyBorder="1"/>
    <xf numFmtId="0" fontId="13" fillId="3" borderId="0" xfId="0" applyFont="1" applyFill="1" applyAlignment="1">
      <alignment horizontal="center"/>
    </xf>
    <xf numFmtId="2" fontId="13" fillId="3" borderId="0" xfId="7" applyNumberFormat="1" applyFont="1" applyFill="1" applyBorder="1" applyAlignment="1" applyProtection="1">
      <alignment horizontal="center" vertical="top"/>
    </xf>
    <xf numFmtId="2" fontId="21" fillId="3" borderId="0" xfId="0" applyNumberFormat="1" applyFont="1" applyFill="1" applyAlignment="1">
      <alignment horizontal="center" vertical="top"/>
    </xf>
    <xf numFmtId="0" fontId="13" fillId="3" borderId="2" xfId="0" applyFont="1" applyFill="1" applyBorder="1" applyAlignment="1">
      <alignment vertical="top" wrapText="1"/>
    </xf>
    <xf numFmtId="0" fontId="16" fillId="3" borderId="0" xfId="0" applyFont="1" applyFill="1" applyAlignment="1">
      <alignment vertical="top"/>
    </xf>
    <xf numFmtId="0" fontId="14" fillId="3" borderId="0" xfId="0" applyFont="1" applyFill="1" applyAlignment="1">
      <alignment vertical="top" wrapText="1"/>
    </xf>
    <xf numFmtId="0" fontId="15" fillId="3" borderId="2" xfId="0" applyFont="1" applyFill="1" applyBorder="1" applyAlignment="1">
      <alignment vertical="top" wrapText="1"/>
    </xf>
    <xf numFmtId="0" fontId="13" fillId="7" borderId="0" xfId="0" applyFont="1" applyFill="1" applyAlignment="1">
      <alignment vertical="top"/>
    </xf>
    <xf numFmtId="0" fontId="12" fillId="10" borderId="0" xfId="0" applyFont="1" applyFill="1"/>
    <xf numFmtId="0" fontId="28" fillId="0" borderId="0" xfId="0" applyFont="1"/>
    <xf numFmtId="0" fontId="8" fillId="0" borderId="0" xfId="0" applyFont="1"/>
    <xf numFmtId="0" fontId="9" fillId="8" borderId="0" xfId="0" applyFont="1" applyFill="1"/>
    <xf numFmtId="0" fontId="11" fillId="8" borderId="0" xfId="0" applyFont="1" applyFill="1" applyAlignment="1">
      <alignment horizontal="left"/>
    </xf>
    <xf numFmtId="0" fontId="30" fillId="0" borderId="0" xfId="0" applyFont="1"/>
    <xf numFmtId="0" fontId="13" fillId="3" borderId="2" xfId="0" applyFont="1" applyFill="1" applyBorder="1" applyAlignment="1">
      <alignment vertical="top"/>
    </xf>
    <xf numFmtId="0" fontId="13" fillId="5" borderId="3" xfId="0" applyFont="1" applyFill="1" applyBorder="1" applyProtection="1">
      <protection locked="0"/>
    </xf>
    <xf numFmtId="0" fontId="13" fillId="5" borderId="0" xfId="0" applyFont="1" applyFill="1" applyAlignment="1" applyProtection="1">
      <alignment horizontal="center" vertical="top"/>
      <protection locked="0"/>
    </xf>
    <xf numFmtId="0" fontId="18" fillId="3" borderId="0" xfId="0" applyFont="1" applyFill="1" applyAlignment="1">
      <alignment horizontal="left" vertical="top"/>
    </xf>
    <xf numFmtId="0" fontId="16" fillId="10" borderId="0" xfId="0" applyFont="1" applyFill="1" applyAlignment="1">
      <alignment wrapText="1"/>
    </xf>
    <xf numFmtId="0" fontId="26" fillId="3" borderId="0" xfId="0" applyFont="1" applyFill="1" applyAlignment="1">
      <alignment horizontal="left" wrapText="1"/>
    </xf>
    <xf numFmtId="0" fontId="13" fillId="0" borderId="0" xfId="0" applyFont="1" applyAlignment="1" applyProtection="1">
      <alignment horizontal="center"/>
      <protection locked="0"/>
    </xf>
    <xf numFmtId="0" fontId="22" fillId="5" borderId="0" xfId="0" applyFont="1" applyFill="1" applyAlignment="1" applyProtection="1">
      <alignment horizontal="center" vertical="top"/>
      <protection locked="0"/>
    </xf>
    <xf numFmtId="0" fontId="24" fillId="8" borderId="0" xfId="0" applyFont="1" applyFill="1" applyAlignment="1" applyProtection="1">
      <alignment vertical="top" wrapText="1"/>
      <protection locked="0"/>
    </xf>
    <xf numFmtId="0" fontId="14" fillId="8" borderId="0" xfId="0" applyFont="1" applyFill="1" applyAlignment="1" applyProtection="1">
      <alignment horizontal="left" vertical="top" wrapText="1"/>
      <protection locked="0"/>
    </xf>
    <xf numFmtId="0" fontId="9" fillId="8" borderId="0" xfId="0" applyFont="1" applyFill="1" applyAlignment="1" applyProtection="1">
      <alignment vertical="top" wrapText="1"/>
      <protection locked="0"/>
    </xf>
    <xf numFmtId="0" fontId="16" fillId="8" borderId="0" xfId="0" applyFont="1" applyFill="1" applyAlignment="1" applyProtection="1">
      <alignment vertical="top" wrapText="1"/>
      <protection locked="0"/>
    </xf>
    <xf numFmtId="0" fontId="16" fillId="8" borderId="3" xfId="0" applyFont="1" applyFill="1" applyBorder="1" applyAlignment="1" applyProtection="1">
      <alignment vertical="top" wrapText="1"/>
      <protection locked="0"/>
    </xf>
    <xf numFmtId="0" fontId="16" fillId="8" borderId="2" xfId="0" applyFont="1" applyFill="1" applyBorder="1" applyAlignment="1" applyProtection="1">
      <alignment vertical="top" wrapText="1"/>
      <protection locked="0"/>
    </xf>
    <xf numFmtId="0" fontId="16" fillId="5" borderId="0" xfId="0" applyFont="1" applyFill="1" applyAlignment="1" applyProtection="1">
      <alignment vertical="top"/>
      <protection locked="0"/>
    </xf>
    <xf numFmtId="0" fontId="14" fillId="5" borderId="0" xfId="0" applyFont="1" applyFill="1" applyAlignment="1" applyProtection="1">
      <alignment horizontal="left" vertical="top"/>
      <protection locked="0"/>
    </xf>
    <xf numFmtId="0" fontId="15" fillId="0" borderId="0" xfId="0" applyFont="1" applyProtection="1">
      <protection locked="0"/>
    </xf>
    <xf numFmtId="0" fontId="17" fillId="0" borderId="0" xfId="0" applyFont="1" applyProtection="1">
      <protection locked="0"/>
    </xf>
    <xf numFmtId="0" fontId="17" fillId="0" borderId="0" xfId="0" applyFont="1" applyAlignment="1" applyProtection="1">
      <alignment horizontal="center"/>
      <protection locked="0"/>
    </xf>
    <xf numFmtId="0" fontId="17" fillId="9" borderId="0" xfId="0" applyFont="1" applyFill="1" applyAlignment="1" applyProtection="1">
      <alignment horizontal="center"/>
      <protection locked="0"/>
    </xf>
    <xf numFmtId="0" fontId="17" fillId="10" borderId="0" xfId="0" applyFont="1" applyFill="1" applyAlignment="1" applyProtection="1">
      <alignment horizontal="center"/>
      <protection locked="0"/>
    </xf>
    <xf numFmtId="0" fontId="17" fillId="0" borderId="0" xfId="0" applyFont="1" applyAlignment="1" applyProtection="1">
      <alignment horizontal="center" vertical="center"/>
      <protection locked="0"/>
    </xf>
    <xf numFmtId="0" fontId="13" fillId="0" borderId="0" xfId="0" applyFont="1" applyProtection="1">
      <protection locked="0"/>
    </xf>
    <xf numFmtId="0" fontId="13" fillId="9" borderId="0" xfId="0" applyFont="1" applyFill="1" applyAlignment="1" applyProtection="1">
      <alignment horizontal="center"/>
      <protection locked="0"/>
    </xf>
    <xf numFmtId="0" fontId="17" fillId="11" borderId="0" xfId="0" applyFont="1" applyFill="1" applyAlignment="1" applyProtection="1">
      <alignment horizontal="center"/>
      <protection locked="0"/>
    </xf>
    <xf numFmtId="0" fontId="22" fillId="0" borderId="0" xfId="1" applyFont="1" applyAlignment="1" applyProtection="1">
      <alignment horizontal="center" vertical="center"/>
      <protection locked="0"/>
    </xf>
    <xf numFmtId="0" fontId="22" fillId="0" borderId="1" xfId="1" applyFont="1" applyBorder="1" applyAlignment="1" applyProtection="1">
      <alignment horizontal="center" vertical="center"/>
      <protection locked="0"/>
    </xf>
    <xf numFmtId="0" fontId="22" fillId="0" borderId="0" xfId="1" quotePrefix="1" applyFont="1" applyAlignment="1" applyProtection="1">
      <alignment horizontal="center" vertical="center"/>
      <protection locked="0"/>
    </xf>
    <xf numFmtId="0" fontId="13" fillId="11" borderId="0" xfId="0" applyFont="1" applyFill="1" applyAlignment="1" applyProtection="1">
      <alignment horizontal="center" vertical="center"/>
      <protection locked="0"/>
    </xf>
    <xf numFmtId="0" fontId="13" fillId="11" borderId="0" xfId="0" applyFont="1" applyFill="1" applyAlignment="1" applyProtection="1">
      <alignment horizontal="center"/>
      <protection locked="0"/>
    </xf>
    <xf numFmtId="0" fontId="13" fillId="0" borderId="0" xfId="0" quotePrefix="1" applyFont="1" applyAlignment="1" applyProtection="1">
      <alignment horizontal="center"/>
      <protection locked="0"/>
    </xf>
    <xf numFmtId="0" fontId="13" fillId="0" borderId="0" xfId="0" applyFont="1" applyAlignment="1" applyProtection="1">
      <alignment horizontal="center" vertical="center"/>
      <protection locked="0"/>
    </xf>
    <xf numFmtId="0" fontId="33" fillId="3" borderId="0" xfId="0" applyFont="1" applyFill="1" applyAlignment="1">
      <alignment horizontal="left" vertical="top" indent="2"/>
    </xf>
    <xf numFmtId="0" fontId="33" fillId="3" borderId="0" xfId="0" applyFont="1" applyFill="1" applyAlignment="1">
      <alignment vertical="top" wrapText="1"/>
    </xf>
    <xf numFmtId="0" fontId="31" fillId="3" borderId="0" xfId="0" applyFont="1" applyFill="1" applyAlignment="1">
      <alignment vertical="top" wrapText="1"/>
    </xf>
    <xf numFmtId="0" fontId="13" fillId="3" borderId="0" xfId="0" quotePrefix="1" applyFont="1" applyFill="1" applyAlignment="1">
      <alignment vertical="top" wrapText="1"/>
    </xf>
    <xf numFmtId="0" fontId="13" fillId="3" borderId="5" xfId="0" applyFont="1" applyFill="1" applyBorder="1" applyAlignment="1" applyProtection="1">
      <alignment vertical="top" wrapText="1"/>
      <protection locked="0"/>
    </xf>
    <xf numFmtId="0" fontId="13" fillId="3" borderId="4" xfId="0" applyFont="1" applyFill="1" applyBorder="1" applyAlignment="1">
      <alignment vertical="top" wrapText="1"/>
    </xf>
    <xf numFmtId="0" fontId="13" fillId="3" borderId="3" xfId="0" applyFont="1" applyFill="1" applyBorder="1" applyAlignment="1" applyProtection="1">
      <alignment vertical="top" wrapText="1"/>
      <protection locked="0"/>
    </xf>
    <xf numFmtId="0" fontId="13" fillId="3" borderId="6" xfId="0" applyFont="1" applyFill="1" applyBorder="1" applyAlignment="1">
      <alignment vertical="top" wrapText="1"/>
    </xf>
    <xf numFmtId="0" fontId="17" fillId="0" borderId="0" xfId="0" applyFont="1" applyAlignment="1" applyProtection="1">
      <alignment horizontal="center" wrapText="1"/>
      <protection locked="0"/>
    </xf>
    <xf numFmtId="0" fontId="22" fillId="0" borderId="0" xfId="1" applyFont="1" applyAlignment="1" applyProtection="1">
      <alignment horizontal="center" vertical="center" wrapText="1"/>
      <protection locked="0"/>
    </xf>
    <xf numFmtId="0" fontId="20" fillId="0" borderId="0" xfId="0" applyFont="1" applyAlignment="1">
      <alignment horizontal="center" vertical="top"/>
    </xf>
    <xf numFmtId="2" fontId="13" fillId="0" borderId="0" xfId="0" applyNumberFormat="1" applyFont="1" applyAlignment="1">
      <alignment vertical="top"/>
    </xf>
    <xf numFmtId="0" fontId="17" fillId="0" borderId="0" xfId="0" quotePrefix="1" applyFont="1" applyAlignment="1" applyProtection="1">
      <alignment horizontal="center"/>
      <protection locked="0"/>
    </xf>
    <xf numFmtId="0" fontId="13" fillId="10" borderId="0" xfId="0" applyFont="1" applyFill="1" applyAlignment="1">
      <alignment horizontal="center" wrapText="1"/>
    </xf>
    <xf numFmtId="0" fontId="16" fillId="10" borderId="0" xfId="0" applyFont="1" applyFill="1" applyAlignment="1">
      <alignment horizontal="center" wrapText="1"/>
    </xf>
    <xf numFmtId="0" fontId="27" fillId="3" borderId="0" xfId="0" applyFont="1" applyFill="1" applyAlignment="1">
      <alignment horizontal="left" wrapText="1"/>
    </xf>
    <xf numFmtId="0" fontId="13" fillId="3" borderId="0" xfId="0" applyFont="1" applyFill="1" applyAlignment="1">
      <alignment horizontal="center" wrapText="1"/>
    </xf>
    <xf numFmtId="0" fontId="13" fillId="0" borderId="0" xfId="0" applyFont="1" applyAlignment="1" applyProtection="1">
      <alignment horizontal="center" vertical="top" wrapText="1"/>
      <protection locked="0"/>
    </xf>
    <xf numFmtId="0" fontId="18" fillId="4" borderId="0" xfId="0" applyFont="1" applyFill="1" applyAlignment="1">
      <alignment vertical="top"/>
    </xf>
    <xf numFmtId="0" fontId="18" fillId="4" borderId="0" xfId="0" applyFont="1" applyFill="1" applyAlignment="1">
      <alignment vertical="top" wrapText="1"/>
    </xf>
    <xf numFmtId="0" fontId="0" fillId="0" borderId="0" xfId="0" applyAlignment="1">
      <alignment vertical="top"/>
    </xf>
    <xf numFmtId="0" fontId="13" fillId="0" borderId="0" xfId="0" applyFont="1" applyAlignment="1" applyProtection="1">
      <alignment wrapText="1"/>
      <protection locked="0"/>
    </xf>
    <xf numFmtId="0" fontId="17" fillId="3" borderId="0" xfId="0" applyFont="1" applyFill="1" applyAlignment="1">
      <alignment vertical="top" wrapText="1"/>
    </xf>
    <xf numFmtId="0" fontId="36" fillId="3" borderId="0" xfId="0" applyFont="1" applyFill="1" applyAlignment="1">
      <alignment vertical="top" wrapText="1"/>
    </xf>
    <xf numFmtId="16" fontId="13" fillId="3" borderId="0" xfId="0" quotePrefix="1" applyNumberFormat="1" applyFont="1" applyFill="1" applyAlignment="1">
      <alignment vertical="top"/>
    </xf>
    <xf numFmtId="0" fontId="13" fillId="3" borderId="0" xfId="0" quotePrefix="1" applyFont="1" applyFill="1" applyAlignment="1">
      <alignment vertical="top"/>
    </xf>
    <xf numFmtId="0" fontId="37" fillId="3" borderId="0" xfId="0" applyFont="1" applyFill="1" applyAlignment="1">
      <alignment vertical="top" wrapText="1"/>
    </xf>
    <xf numFmtId="0" fontId="36" fillId="5" borderId="0" xfId="0" applyFont="1" applyFill="1" applyAlignment="1" applyProtection="1">
      <alignment horizontal="center" vertical="top"/>
      <protection locked="0"/>
    </xf>
    <xf numFmtId="2" fontId="36" fillId="3" borderId="0" xfId="7" applyNumberFormat="1" applyFont="1" applyFill="1" applyBorder="1" applyAlignment="1" applyProtection="1">
      <alignment horizontal="center" vertical="top"/>
    </xf>
    <xf numFmtId="2" fontId="38" fillId="3" borderId="0" xfId="0" applyNumberFormat="1" applyFont="1" applyFill="1" applyAlignment="1">
      <alignment horizontal="center" vertical="top"/>
    </xf>
    <xf numFmtId="0" fontId="36" fillId="0" borderId="0" xfId="0" applyFont="1" applyAlignment="1">
      <alignment vertical="top"/>
    </xf>
    <xf numFmtId="0" fontId="39" fillId="0" borderId="0" xfId="0" applyFont="1"/>
    <xf numFmtId="0" fontId="22" fillId="3" borderId="0" xfId="0" applyFont="1" applyFill="1" applyAlignment="1">
      <alignment horizontal="left" vertical="top" wrapText="1"/>
    </xf>
    <xf numFmtId="0" fontId="22" fillId="3" borderId="0" xfId="0" applyFont="1" applyFill="1" applyAlignment="1">
      <alignment horizontal="left" vertical="top"/>
    </xf>
    <xf numFmtId="0" fontId="41" fillId="0" borderId="0" xfId="0" applyFont="1" applyAlignment="1">
      <alignment horizontal="left"/>
    </xf>
    <xf numFmtId="0" fontId="40" fillId="0" borderId="0" xfId="0" applyFont="1" applyAlignment="1">
      <alignment horizontal="left"/>
    </xf>
    <xf numFmtId="0" fontId="43" fillId="3" borderId="7" xfId="0" applyFont="1" applyFill="1" applyBorder="1" applyAlignment="1">
      <alignment horizontal="center" vertical="center" wrapText="1"/>
    </xf>
    <xf numFmtId="0" fontId="40" fillId="0" borderId="0" xfId="0" applyFont="1" applyAlignment="1">
      <alignment horizontal="left" vertical="center"/>
    </xf>
    <xf numFmtId="164" fontId="43" fillId="3" borderId="7" xfId="7" applyNumberFormat="1" applyFont="1" applyFill="1" applyBorder="1" applyAlignment="1">
      <alignment horizontal="center" vertical="center" wrapText="1"/>
    </xf>
    <xf numFmtId="0" fontId="43" fillId="3" borderId="0" xfId="0" applyFont="1" applyFill="1" applyAlignment="1">
      <alignment horizontal="right" vertical="top" wrapText="1"/>
    </xf>
    <xf numFmtId="0" fontId="43" fillId="3" borderId="0" xfId="0" applyFont="1" applyFill="1" applyAlignment="1">
      <alignment horizontal="center" vertical="top" wrapText="1"/>
    </xf>
    <xf numFmtId="9" fontId="43" fillId="3" borderId="0" xfId="7" applyFont="1" applyFill="1" applyAlignment="1">
      <alignment horizontal="center" vertical="top" wrapText="1"/>
    </xf>
    <xf numFmtId="2" fontId="43" fillId="3" borderId="9" xfId="0" applyNumberFormat="1" applyFont="1" applyFill="1" applyBorder="1" applyAlignment="1">
      <alignment horizontal="center" vertical="center" wrapText="1"/>
    </xf>
    <xf numFmtId="0" fontId="43" fillId="3" borderId="0" xfId="0" applyFont="1" applyFill="1" applyAlignment="1">
      <alignment horizontal="left" vertical="top"/>
    </xf>
    <xf numFmtId="1" fontId="13" fillId="3" borderId="0" xfId="7" applyNumberFormat="1" applyFont="1" applyFill="1" applyBorder="1" applyAlignment="1" applyProtection="1">
      <alignment horizontal="center" vertical="top"/>
    </xf>
    <xf numFmtId="1" fontId="36" fillId="3" borderId="0" xfId="7" applyNumberFormat="1" applyFont="1" applyFill="1" applyBorder="1" applyAlignment="1" applyProtection="1">
      <alignment horizontal="center" vertical="top"/>
    </xf>
    <xf numFmtId="0" fontId="9" fillId="10" borderId="0" xfId="0" applyFont="1" applyFill="1" applyAlignment="1">
      <alignment horizontal="left" vertical="top" wrapText="1"/>
    </xf>
    <xf numFmtId="0" fontId="10" fillId="0" borderId="0" xfId="0" applyFont="1" applyAlignment="1">
      <alignment horizontal="left"/>
    </xf>
    <xf numFmtId="0" fontId="16" fillId="10" borderId="0" xfId="0" applyFont="1" applyFill="1" applyAlignment="1">
      <alignment horizontal="left"/>
    </xf>
    <xf numFmtId="0" fontId="13" fillId="0" borderId="0" xfId="0" applyFont="1" applyAlignment="1">
      <alignment horizontal="left"/>
    </xf>
    <xf numFmtId="0" fontId="16" fillId="3" borderId="0" xfId="0" applyFont="1" applyFill="1" applyAlignment="1">
      <alignment horizontal="left"/>
    </xf>
    <xf numFmtId="0" fontId="14" fillId="3" borderId="0" xfId="0" applyFont="1" applyFill="1" applyAlignment="1">
      <alignment horizontal="left" vertical="top"/>
    </xf>
    <xf numFmtId="0" fontId="17" fillId="7" borderId="0" xfId="0" applyFont="1" applyFill="1" applyAlignment="1">
      <alignment horizontal="left"/>
    </xf>
    <xf numFmtId="0" fontId="17" fillId="3" borderId="0" xfId="0" applyFont="1" applyFill="1" applyAlignment="1">
      <alignment horizontal="left" vertical="top"/>
    </xf>
    <xf numFmtId="0" fontId="15" fillId="3" borderId="0" xfId="0" applyFont="1" applyFill="1" applyAlignment="1">
      <alignment horizontal="left" vertical="top" wrapText="1"/>
    </xf>
    <xf numFmtId="0" fontId="13" fillId="3" borderId="0" xfId="0" applyFont="1" applyFill="1" applyAlignment="1">
      <alignment horizontal="left"/>
    </xf>
    <xf numFmtId="0" fontId="15" fillId="3" borderId="0" xfId="0" applyFont="1" applyFill="1" applyAlignment="1">
      <alignment horizontal="left" vertical="top" wrapText="1" indent="1"/>
    </xf>
    <xf numFmtId="0" fontId="15" fillId="3" borderId="0" xfId="0" applyFont="1" applyFill="1" applyAlignment="1">
      <alignment horizontal="right" vertical="top" wrapText="1"/>
    </xf>
    <xf numFmtId="0" fontId="15" fillId="3" borderId="0" xfId="0" applyFont="1" applyFill="1" applyAlignment="1">
      <alignment horizontal="left" vertical="top"/>
    </xf>
    <xf numFmtId="0" fontId="13" fillId="3" borderId="0" xfId="0" applyFont="1" applyFill="1" applyAlignment="1">
      <alignment horizontal="left" vertical="top" indent="1"/>
    </xf>
    <xf numFmtId="2" fontId="15" fillId="3" borderId="0" xfId="0" applyNumberFormat="1" applyFont="1" applyFill="1" applyAlignment="1">
      <alignment horizontal="left" vertical="top" wrapText="1"/>
    </xf>
    <xf numFmtId="0" fontId="15" fillId="3" borderId="0" xfId="0" applyFont="1" applyFill="1" applyAlignment="1">
      <alignment horizontal="left" vertical="top" wrapText="1" indent="4"/>
    </xf>
    <xf numFmtId="0" fontId="16" fillId="10" borderId="0" xfId="0" applyFont="1" applyFill="1" applyAlignment="1">
      <alignment horizontal="left" vertical="center"/>
    </xf>
    <xf numFmtId="0" fontId="13" fillId="3" borderId="0" xfId="0" applyFont="1" applyFill="1" applyAlignment="1">
      <alignment horizontal="left" vertical="center"/>
    </xf>
    <xf numFmtId="0" fontId="15" fillId="3" borderId="7" xfId="0" applyFont="1" applyFill="1" applyBorder="1" applyAlignment="1">
      <alignment horizontal="center" vertical="center" wrapText="1"/>
    </xf>
    <xf numFmtId="0" fontId="16" fillId="3" borderId="7" xfId="0" applyFont="1" applyFill="1" applyBorder="1" applyAlignment="1">
      <alignment horizontal="center" vertical="center"/>
    </xf>
    <xf numFmtId="0" fontId="13" fillId="3" borderId="7" xfId="0" applyFont="1" applyFill="1" applyBorder="1" applyAlignment="1">
      <alignment horizontal="center" vertical="center" wrapText="1"/>
    </xf>
    <xf numFmtId="2" fontId="15" fillId="3" borderId="7" xfId="7" quotePrefix="1" applyNumberFormat="1" applyFont="1" applyFill="1" applyBorder="1" applyAlignment="1">
      <alignment horizontal="center" vertical="center" wrapText="1"/>
    </xf>
    <xf numFmtId="0" fontId="15" fillId="3" borderId="7" xfId="0" applyFont="1" applyFill="1" applyBorder="1" applyAlignment="1">
      <alignment horizontal="left" vertical="center" wrapText="1"/>
    </xf>
    <xf numFmtId="0" fontId="17" fillId="3" borderId="7" xfId="0" applyFont="1" applyFill="1" applyBorder="1" applyAlignment="1">
      <alignment horizontal="center" vertical="center" wrapText="1"/>
    </xf>
    <xf numFmtId="0" fontId="17" fillId="3" borderId="0" xfId="0" applyFont="1" applyFill="1" applyAlignment="1">
      <alignment horizontal="center" vertical="top" wrapText="1"/>
    </xf>
    <xf numFmtId="2" fontId="16" fillId="3" borderId="9" xfId="0" applyNumberFormat="1" applyFont="1" applyFill="1" applyBorder="1" applyAlignment="1">
      <alignment horizontal="center" vertical="center" wrapText="1"/>
    </xf>
    <xf numFmtId="0" fontId="15" fillId="3" borderId="10" xfId="0" applyFont="1" applyFill="1" applyBorder="1" applyAlignment="1">
      <alignment horizontal="left" vertical="center" wrapText="1"/>
    </xf>
    <xf numFmtId="0" fontId="15" fillId="3" borderId="0" xfId="0" applyFont="1" applyFill="1" applyAlignment="1">
      <alignment vertical="top" wrapText="1"/>
    </xf>
    <xf numFmtId="44" fontId="15" fillId="3" borderId="0" xfId="0" applyNumberFormat="1" applyFont="1" applyFill="1" applyAlignment="1">
      <alignment horizontal="left"/>
    </xf>
    <xf numFmtId="0" fontId="13" fillId="3" borderId="0" xfId="0" applyFont="1" applyFill="1" applyAlignment="1">
      <alignment horizontal="left" vertical="top"/>
    </xf>
    <xf numFmtId="164" fontId="15" fillId="3" borderId="0" xfId="0" applyNumberFormat="1" applyFont="1" applyFill="1" applyAlignment="1">
      <alignment horizontal="right" vertical="top" wrapText="1"/>
    </xf>
    <xf numFmtId="0" fontId="15" fillId="3" borderId="0" xfId="0" applyFont="1" applyFill="1" applyAlignment="1">
      <alignment horizontal="left"/>
    </xf>
    <xf numFmtId="44" fontId="13" fillId="3" borderId="0" xfId="5" applyFont="1" applyFill="1" applyAlignment="1">
      <alignment horizontal="right" vertical="top"/>
    </xf>
    <xf numFmtId="0" fontId="17" fillId="3" borderId="0" xfId="0" applyFont="1" applyFill="1" applyAlignment="1">
      <alignment horizontal="right"/>
    </xf>
    <xf numFmtId="0" fontId="13" fillId="3" borderId="0" xfId="0" applyFont="1" applyFill="1" applyAlignment="1">
      <alignment horizontal="left" vertical="top" wrapText="1"/>
    </xf>
    <xf numFmtId="0" fontId="13" fillId="10" borderId="0" xfId="0" applyFont="1" applyFill="1" applyAlignment="1">
      <alignment vertical="top"/>
    </xf>
    <xf numFmtId="0" fontId="14" fillId="10" borderId="0" xfId="0" applyFont="1" applyFill="1" applyAlignment="1">
      <alignment horizontal="center" vertical="top"/>
    </xf>
    <xf numFmtId="0" fontId="13" fillId="10" borderId="0" xfId="0" applyFont="1" applyFill="1" applyAlignment="1">
      <alignment vertical="top" wrapText="1"/>
    </xf>
    <xf numFmtId="0" fontId="13" fillId="10" borderId="0" xfId="0" applyFont="1" applyFill="1" applyAlignment="1">
      <alignment horizontal="center" vertical="top"/>
    </xf>
    <xf numFmtId="0" fontId="9" fillId="10" borderId="0" xfId="0" applyFont="1" applyFill="1" applyAlignment="1">
      <alignment vertical="top" wrapText="1"/>
    </xf>
    <xf numFmtId="0" fontId="9" fillId="10" borderId="0" xfId="0" applyFont="1" applyFill="1" applyAlignment="1">
      <alignment horizontal="center" vertical="top"/>
    </xf>
    <xf numFmtId="0" fontId="9" fillId="10" borderId="0" xfId="0" applyFont="1" applyFill="1" applyAlignment="1">
      <alignment horizontal="left" vertical="top"/>
    </xf>
    <xf numFmtId="0" fontId="16" fillId="10" borderId="0" xfId="0" applyFont="1" applyFill="1" applyAlignment="1">
      <alignment vertical="top" wrapText="1"/>
    </xf>
    <xf numFmtId="0" fontId="16" fillId="10" borderId="0" xfId="0" applyFont="1" applyFill="1" applyAlignment="1">
      <alignment horizontal="center" vertical="top"/>
    </xf>
    <xf numFmtId="0" fontId="17" fillId="3" borderId="0" xfId="0" applyFont="1" applyFill="1" applyAlignment="1">
      <alignment vertical="top"/>
    </xf>
    <xf numFmtId="0" fontId="18" fillId="4" borderId="0" xfId="0" applyFont="1" applyFill="1" applyAlignment="1">
      <alignment horizontal="center" vertical="top" wrapText="1"/>
    </xf>
    <xf numFmtId="0" fontId="18" fillId="3" borderId="0" xfId="0" applyFont="1" applyFill="1" applyAlignment="1">
      <alignment vertical="top"/>
    </xf>
    <xf numFmtId="0" fontId="18" fillId="3" borderId="0" xfId="0" applyFont="1" applyFill="1" applyAlignment="1">
      <alignment vertical="top" wrapText="1"/>
    </xf>
    <xf numFmtId="0" fontId="18" fillId="3" borderId="0" xfId="0" applyFont="1" applyFill="1" applyAlignment="1">
      <alignment horizontal="center" vertical="top"/>
    </xf>
    <xf numFmtId="0" fontId="21" fillId="3" borderId="0" xfId="0" applyFont="1" applyFill="1" applyAlignment="1">
      <alignment horizontal="center" vertical="top"/>
    </xf>
    <xf numFmtId="0" fontId="21" fillId="3" borderId="0" xfId="0" applyFont="1" applyFill="1" applyAlignment="1">
      <alignment vertical="top"/>
    </xf>
    <xf numFmtId="0" fontId="17" fillId="7" borderId="0" xfId="8" applyFont="1" applyFill="1" applyAlignment="1">
      <alignment horizontal="left" vertical="top"/>
    </xf>
    <xf numFmtId="0" fontId="17" fillId="7" borderId="0" xfId="8" applyFont="1" applyFill="1" applyAlignment="1">
      <alignment vertical="top" wrapText="1"/>
    </xf>
    <xf numFmtId="0" fontId="17" fillId="7" borderId="0" xfId="8" applyFont="1" applyFill="1" applyAlignment="1">
      <alignment vertical="top"/>
    </xf>
    <xf numFmtId="165" fontId="17" fillId="7" borderId="0" xfId="8" applyNumberFormat="1" applyFont="1" applyFill="1" applyAlignment="1">
      <alignment vertical="top" wrapText="1"/>
    </xf>
    <xf numFmtId="0" fontId="17" fillId="7" borderId="0" xfId="8" applyFont="1" applyFill="1" applyAlignment="1">
      <alignment horizontal="center" vertical="top" wrapText="1"/>
    </xf>
    <xf numFmtId="0" fontId="22" fillId="5" borderId="0" xfId="8" applyFont="1" applyFill="1" applyAlignment="1">
      <alignment vertical="top" wrapText="1"/>
    </xf>
    <xf numFmtId="0" fontId="13" fillId="13" borderId="0" xfId="8" applyFont="1" applyFill="1" applyAlignment="1">
      <alignment horizontal="center" vertical="top"/>
    </xf>
    <xf numFmtId="3" fontId="22" fillId="5" borderId="0" xfId="8" applyNumberFormat="1" applyFont="1" applyFill="1" applyAlignment="1">
      <alignment horizontal="center" vertical="top"/>
    </xf>
    <xf numFmtId="0" fontId="22" fillId="5" borderId="0" xfId="8" applyFont="1" applyFill="1" applyAlignment="1">
      <alignment horizontal="center" vertical="top" wrapText="1"/>
    </xf>
    <xf numFmtId="166" fontId="22" fillId="5" borderId="3" xfId="8" applyNumberFormat="1" applyFont="1" applyFill="1" applyBorder="1" applyAlignment="1" applyProtection="1">
      <alignment vertical="top"/>
      <protection locked="0"/>
    </xf>
    <xf numFmtId="165" fontId="22" fillId="5" borderId="0" xfId="8" applyNumberFormat="1" applyFont="1" applyFill="1" applyAlignment="1">
      <alignment vertical="top"/>
    </xf>
    <xf numFmtId="165" fontId="22" fillId="5" borderId="0" xfId="8" applyNumberFormat="1" applyFont="1" applyFill="1" applyAlignment="1">
      <alignment horizontal="center" vertical="top"/>
    </xf>
    <xf numFmtId="0" fontId="17" fillId="5" borderId="0" xfId="8" applyFont="1" applyFill="1" applyAlignment="1">
      <alignment horizontal="left" vertical="top"/>
    </xf>
    <xf numFmtId="3" fontId="35" fillId="5" borderId="0" xfId="8" applyNumberFormat="1" applyFont="1" applyFill="1" applyAlignment="1">
      <alignment horizontal="center" vertical="top"/>
    </xf>
    <xf numFmtId="0" fontId="35" fillId="5" borderId="0" xfId="8" applyFont="1" applyFill="1" applyAlignment="1">
      <alignment horizontal="center" vertical="top"/>
    </xf>
    <xf numFmtId="166" fontId="22" fillId="5" borderId="0" xfId="8" applyNumberFormat="1" applyFont="1" applyFill="1" applyAlignment="1">
      <alignment vertical="top"/>
    </xf>
    <xf numFmtId="0" fontId="22" fillId="5" borderId="0" xfId="8" applyFont="1" applyFill="1" applyAlignment="1">
      <alignment horizontal="center" vertical="top"/>
    </xf>
    <xf numFmtId="165" fontId="22" fillId="5" borderId="3" xfId="8" applyNumberFormat="1" applyFont="1" applyFill="1" applyBorder="1" applyAlignment="1" applyProtection="1">
      <alignment vertical="top"/>
      <protection locked="0"/>
    </xf>
    <xf numFmtId="0" fontId="13" fillId="14" borderId="0" xfId="8" applyFont="1" applyFill="1" applyAlignment="1">
      <alignment horizontal="center" vertical="top"/>
    </xf>
    <xf numFmtId="49" fontId="17" fillId="7" borderId="0" xfId="8" applyNumberFormat="1" applyFont="1" applyFill="1" applyAlignment="1">
      <alignment horizontal="left" vertical="top"/>
    </xf>
    <xf numFmtId="165" fontId="17" fillId="7" borderId="0" xfId="8" applyNumberFormat="1" applyFont="1" applyFill="1" applyAlignment="1">
      <alignment vertical="top"/>
    </xf>
    <xf numFmtId="0" fontId="17" fillId="7" borderId="0" xfId="8" applyFont="1" applyFill="1" applyAlignment="1">
      <alignment horizontal="center" vertical="top"/>
    </xf>
    <xf numFmtId="0" fontId="13" fillId="0" borderId="0" xfId="8" applyFont="1" applyAlignment="1">
      <alignment vertical="top" wrapText="1"/>
    </xf>
    <xf numFmtId="3" fontId="22" fillId="5" borderId="3" xfId="8" applyNumberFormat="1" applyFont="1" applyFill="1" applyBorder="1" applyAlignment="1" applyProtection="1">
      <alignment horizontal="center" vertical="top"/>
      <protection locked="0"/>
    </xf>
    <xf numFmtId="0" fontId="19" fillId="5" borderId="0" xfId="8" applyFont="1" applyFill="1" applyAlignment="1">
      <alignment vertical="top" wrapText="1"/>
    </xf>
    <xf numFmtId="4" fontId="22" fillId="5" borderId="3" xfId="8" applyNumberFormat="1" applyFont="1" applyFill="1" applyBorder="1" applyAlignment="1" applyProtection="1">
      <alignment horizontal="center" vertical="top"/>
      <protection locked="0"/>
    </xf>
    <xf numFmtId="0" fontId="13" fillId="5" borderId="0" xfId="8" applyFont="1" applyFill="1" applyAlignment="1">
      <alignment vertical="top" wrapText="1"/>
    </xf>
    <xf numFmtId="0" fontId="15" fillId="5" borderId="0" xfId="8" applyFont="1" applyFill="1" applyAlignment="1">
      <alignment vertical="top" wrapText="1"/>
    </xf>
    <xf numFmtId="165" fontId="22" fillId="0" borderId="0" xfId="8" applyNumberFormat="1" applyFont="1" applyAlignment="1">
      <alignment vertical="top"/>
    </xf>
    <xf numFmtId="0" fontId="36" fillId="5" borderId="0" xfId="8" applyFont="1" applyFill="1" applyAlignment="1">
      <alignment horizontal="left" vertical="top" wrapText="1"/>
    </xf>
    <xf numFmtId="0" fontId="21" fillId="3" borderId="0" xfId="0" applyFont="1" applyFill="1" applyAlignment="1">
      <alignment horizontal="right" vertical="top"/>
    </xf>
    <xf numFmtId="165" fontId="21" fillId="3" borderId="0" xfId="0" applyNumberFormat="1" applyFont="1" applyFill="1" applyAlignment="1">
      <alignment vertical="top"/>
    </xf>
    <xf numFmtId="0" fontId="17" fillId="7" borderId="8" xfId="8" applyFont="1" applyFill="1" applyBorder="1" applyAlignment="1">
      <alignment horizontal="right" vertical="top"/>
    </xf>
    <xf numFmtId="7" fontId="17" fillId="7" borderId="10" xfId="5" applyNumberFormat="1" applyFont="1" applyFill="1" applyBorder="1" applyAlignment="1">
      <alignment vertical="top"/>
    </xf>
    <xf numFmtId="0" fontId="13" fillId="12" borderId="2" xfId="0" applyFont="1" applyFill="1" applyBorder="1" applyAlignment="1">
      <alignment vertical="top"/>
    </xf>
    <xf numFmtId="0" fontId="13" fillId="12" borderId="2" xfId="0" applyFont="1" applyFill="1" applyBorder="1" applyAlignment="1">
      <alignment vertical="top" wrapText="1"/>
    </xf>
    <xf numFmtId="0" fontId="13" fillId="12" borderId="2" xfId="0" applyFont="1" applyFill="1" applyBorder="1" applyAlignment="1">
      <alignment horizontal="center" vertical="top"/>
    </xf>
    <xf numFmtId="1" fontId="14" fillId="10" borderId="0" xfId="0" applyNumberFormat="1" applyFont="1" applyFill="1" applyAlignment="1">
      <alignment vertical="top"/>
    </xf>
    <xf numFmtId="1" fontId="13" fillId="10" borderId="0" xfId="0" applyNumberFormat="1" applyFont="1" applyFill="1"/>
    <xf numFmtId="1" fontId="16" fillId="10" borderId="0" xfId="0" applyNumberFormat="1" applyFont="1" applyFill="1"/>
    <xf numFmtId="1" fontId="27" fillId="3" borderId="0" xfId="0" applyNumberFormat="1" applyFont="1" applyFill="1" applyAlignment="1">
      <alignment wrapText="1"/>
    </xf>
    <xf numFmtId="1" fontId="13" fillId="3" borderId="0" xfId="0" applyNumberFormat="1" applyFont="1" applyFill="1"/>
    <xf numFmtId="0" fontId="25" fillId="10" borderId="0" xfId="0" applyFont="1" applyFill="1" applyAlignment="1">
      <alignment vertical="top"/>
    </xf>
    <xf numFmtId="1" fontId="13" fillId="7" borderId="0" xfId="0" applyNumberFormat="1" applyFont="1" applyFill="1" applyAlignment="1">
      <alignment vertical="top"/>
    </xf>
    <xf numFmtId="1" fontId="13" fillId="3" borderId="0" xfId="0" applyNumberFormat="1" applyFont="1" applyFill="1" applyAlignment="1">
      <alignment horizontal="left" vertical="top" wrapText="1"/>
    </xf>
    <xf numFmtId="0" fontId="13" fillId="3" borderId="0" xfId="0" applyFont="1" applyFill="1" applyAlignment="1">
      <alignment horizontal="left" vertical="top" wrapText="1" indent="1"/>
    </xf>
    <xf numFmtId="0" fontId="19" fillId="3" borderId="0" xfId="0" applyFont="1" applyFill="1" applyAlignment="1">
      <alignment horizontal="left" vertical="top" indent="1"/>
    </xf>
    <xf numFmtId="0" fontId="26" fillId="3" borderId="0" xfId="0" applyFont="1" applyFill="1" applyAlignment="1">
      <alignment horizontal="left" vertical="top" wrapText="1" indent="1"/>
    </xf>
    <xf numFmtId="0" fontId="27" fillId="3" borderId="0" xfId="0" applyFont="1" applyFill="1" applyAlignment="1">
      <alignment horizontal="left" vertical="top" wrapText="1" indent="1"/>
    </xf>
    <xf numFmtId="0" fontId="27" fillId="3" borderId="0" xfId="0" applyFont="1" applyFill="1" applyAlignment="1">
      <alignment horizontal="left" vertical="top" indent="1"/>
    </xf>
    <xf numFmtId="1" fontId="27" fillId="3" borderId="0" xfId="0" applyNumberFormat="1" applyFont="1" applyFill="1" applyAlignment="1">
      <alignment horizontal="left" vertical="top" wrapText="1" indent="1"/>
    </xf>
    <xf numFmtId="2" fontId="13" fillId="3" borderId="0" xfId="0" applyNumberFormat="1" applyFont="1" applyFill="1" applyAlignment="1">
      <alignment horizontal="left" vertical="top" indent="1"/>
    </xf>
    <xf numFmtId="0" fontId="13" fillId="3" borderId="0" xfId="0" applyFont="1" applyFill="1" applyAlignment="1">
      <alignment horizontal="left" vertical="top" indent="2"/>
    </xf>
    <xf numFmtId="0" fontId="19" fillId="3" borderId="0" xfId="0" applyFont="1" applyFill="1" applyAlignment="1">
      <alignment horizontal="left" vertical="top" indent="2"/>
    </xf>
    <xf numFmtId="0" fontId="26" fillId="3" borderId="0" xfId="0" applyFont="1" applyFill="1" applyAlignment="1">
      <alignment horizontal="left" vertical="top" wrapText="1" indent="2"/>
    </xf>
    <xf numFmtId="0" fontId="27" fillId="3" borderId="0" xfId="0" applyFont="1" applyFill="1" applyAlignment="1">
      <alignment horizontal="left" vertical="top" wrapText="1" indent="2"/>
    </xf>
    <xf numFmtId="0" fontId="27" fillId="3" borderId="0" xfId="0" applyFont="1" applyFill="1" applyAlignment="1">
      <alignment horizontal="left" vertical="top" indent="2"/>
    </xf>
    <xf numFmtId="1" fontId="27" fillId="3" borderId="0" xfId="0" applyNumberFormat="1" applyFont="1" applyFill="1" applyAlignment="1">
      <alignment horizontal="left" vertical="top" wrapText="1" indent="2"/>
    </xf>
    <xf numFmtId="2" fontId="13" fillId="3" borderId="0" xfId="0" applyNumberFormat="1" applyFont="1" applyFill="1" applyAlignment="1">
      <alignment horizontal="left" vertical="top" indent="2"/>
    </xf>
    <xf numFmtId="1" fontId="22" fillId="3" borderId="0" xfId="0" applyNumberFormat="1" applyFont="1" applyFill="1" applyAlignment="1">
      <alignment horizontal="left" vertical="top"/>
    </xf>
    <xf numFmtId="0" fontId="19" fillId="3" borderId="0" xfId="0" applyFont="1" applyFill="1" applyAlignment="1">
      <alignment horizontal="left" vertical="top"/>
    </xf>
    <xf numFmtId="0" fontId="26" fillId="3" borderId="0" xfId="0" applyFont="1" applyFill="1" applyAlignment="1">
      <alignment horizontal="left" vertical="top" wrapText="1"/>
    </xf>
    <xf numFmtId="0" fontId="27" fillId="3" borderId="0" xfId="0" applyFont="1" applyFill="1" applyAlignment="1">
      <alignment horizontal="left" vertical="top" wrapText="1"/>
    </xf>
    <xf numFmtId="0" fontId="27" fillId="3" borderId="0" xfId="0" applyFont="1" applyFill="1" applyAlignment="1">
      <alignment horizontal="left" vertical="top"/>
    </xf>
    <xf numFmtId="0" fontId="27" fillId="3" borderId="0" xfId="0" applyFont="1" applyFill="1" applyAlignment="1">
      <alignment vertical="top" wrapText="1"/>
    </xf>
    <xf numFmtId="1" fontId="27" fillId="3" borderId="0" xfId="0" applyNumberFormat="1" applyFont="1" applyFill="1" applyAlignment="1">
      <alignment vertical="top" wrapText="1"/>
    </xf>
    <xf numFmtId="2" fontId="13" fillId="3" borderId="0" xfId="0" applyNumberFormat="1" applyFont="1" applyFill="1" applyAlignment="1">
      <alignment vertical="top"/>
    </xf>
    <xf numFmtId="0" fontId="19" fillId="3" borderId="0" xfId="0" applyFont="1" applyFill="1" applyAlignment="1">
      <alignment horizontal="left" vertical="top" wrapText="1"/>
    </xf>
    <xf numFmtId="0" fontId="13" fillId="3" borderId="0" xfId="0" applyFont="1" applyFill="1" applyAlignment="1">
      <alignment horizontal="center" vertical="top" wrapText="1"/>
    </xf>
    <xf numFmtId="2" fontId="13" fillId="3" borderId="0" xfId="0" applyNumberFormat="1" applyFont="1" applyFill="1" applyAlignment="1">
      <alignment vertical="top" wrapText="1"/>
    </xf>
    <xf numFmtId="1" fontId="13" fillId="3" borderId="0" xfId="0" applyNumberFormat="1" applyFont="1" applyFill="1" applyAlignment="1">
      <alignment vertical="top"/>
    </xf>
    <xf numFmtId="0" fontId="13" fillId="5" borderId="0" xfId="0" applyFont="1" applyFill="1" applyAlignment="1">
      <alignment vertical="top"/>
    </xf>
    <xf numFmtId="0" fontId="16" fillId="2" borderId="0" xfId="0" applyFont="1" applyFill="1" applyAlignment="1">
      <alignment horizontal="left" vertical="top" wrapText="1"/>
    </xf>
    <xf numFmtId="1" fontId="16" fillId="2" borderId="0" xfId="0" applyNumberFormat="1" applyFont="1" applyFill="1" applyAlignment="1">
      <alignment horizontal="center" vertical="top" wrapText="1"/>
    </xf>
    <xf numFmtId="0" fontId="20" fillId="3" borderId="0" xfId="0" applyFont="1" applyFill="1" applyAlignment="1">
      <alignment horizontal="center" vertical="top" wrapText="1"/>
    </xf>
    <xf numFmtId="2" fontId="13" fillId="3" borderId="0" xfId="7" applyNumberFormat="1" applyFont="1" applyFill="1" applyBorder="1" applyAlignment="1" applyProtection="1">
      <alignment horizontal="center"/>
    </xf>
    <xf numFmtId="1" fontId="13" fillId="3" borderId="0" xfId="7" applyNumberFormat="1" applyFont="1" applyFill="1" applyBorder="1" applyAlignment="1" applyProtection="1">
      <alignment horizontal="center"/>
    </xf>
    <xf numFmtId="2" fontId="21" fillId="3" borderId="0" xfId="0" applyNumberFormat="1" applyFont="1" applyFill="1" applyAlignment="1">
      <alignment horizontal="center"/>
    </xf>
    <xf numFmtId="0" fontId="20" fillId="0" borderId="0" xfId="0" applyFont="1" applyAlignment="1">
      <alignment horizontal="center"/>
    </xf>
    <xf numFmtId="0" fontId="13" fillId="0" borderId="0" xfId="0" applyFont="1" applyAlignment="1">
      <alignment horizontal="center" vertical="top" wrapText="1"/>
    </xf>
    <xf numFmtId="1" fontId="13" fillId="0" borderId="0" xfId="0" applyNumberFormat="1" applyFont="1" applyAlignment="1">
      <alignment vertical="top"/>
    </xf>
    <xf numFmtId="0" fontId="22" fillId="3" borderId="0" xfId="0" applyFont="1" applyFill="1"/>
    <xf numFmtId="1" fontId="43" fillId="3" borderId="7" xfId="0" applyNumberFormat="1" applyFont="1" applyFill="1" applyBorder="1" applyAlignment="1">
      <alignment horizontal="center" vertical="center" wrapText="1"/>
    </xf>
    <xf numFmtId="0" fontId="13" fillId="0" borderId="0" xfId="0" applyFont="1" applyAlignment="1">
      <alignment horizontal="left" vertical="top" indent="1"/>
    </xf>
    <xf numFmtId="0" fontId="15" fillId="0" borderId="0" xfId="0" applyFont="1" applyAlignment="1">
      <alignment horizontal="left" vertical="top" wrapText="1" indent="1"/>
    </xf>
    <xf numFmtId="0" fontId="22" fillId="3" borderId="0" xfId="0" applyFont="1" applyFill="1" applyAlignment="1">
      <alignment vertical="top" wrapText="1"/>
    </xf>
    <xf numFmtId="0" fontId="22" fillId="3" borderId="0" xfId="0" applyFont="1" applyFill="1" applyAlignment="1">
      <alignment horizontal="left"/>
    </xf>
    <xf numFmtId="0" fontId="18" fillId="3" borderId="0" xfId="0" applyFont="1" applyFill="1" applyAlignment="1">
      <alignment horizontal="left"/>
    </xf>
    <xf numFmtId="0" fontId="45" fillId="3" borderId="0" xfId="0" applyFont="1" applyFill="1" applyAlignment="1">
      <alignment vertical="top" wrapText="1"/>
    </xf>
    <xf numFmtId="0" fontId="22" fillId="15" borderId="0" xfId="0" applyFont="1" applyFill="1"/>
    <xf numFmtId="0" fontId="36" fillId="6" borderId="0" xfId="0" applyFont="1" applyFill="1" applyAlignment="1">
      <alignment vertical="top" wrapText="1"/>
    </xf>
    <xf numFmtId="0" fontId="36" fillId="15" borderId="0" xfId="0" applyFont="1" applyFill="1" applyAlignment="1">
      <alignment vertical="top" wrapText="1"/>
    </xf>
    <xf numFmtId="0" fontId="36" fillId="15" borderId="0" xfId="0" applyFont="1" applyFill="1" applyAlignment="1">
      <alignment wrapText="1"/>
    </xf>
    <xf numFmtId="0" fontId="22" fillId="3" borderId="0" xfId="0" applyFont="1" applyFill="1" applyAlignment="1">
      <alignment horizontal="center"/>
    </xf>
    <xf numFmtId="0" fontId="13" fillId="5" borderId="0" xfId="0" applyFont="1" applyFill="1" applyAlignment="1">
      <alignment horizontal="center" vertical="top"/>
    </xf>
    <xf numFmtId="0" fontId="22" fillId="5" borderId="0" xfId="0" applyFont="1" applyFill="1" applyAlignment="1">
      <alignment horizontal="center" vertical="top"/>
    </xf>
    <xf numFmtId="0" fontId="13" fillId="5" borderId="0" xfId="0" applyFont="1" applyFill="1" applyAlignment="1">
      <alignment horizontal="center"/>
    </xf>
    <xf numFmtId="0" fontId="22" fillId="5" borderId="0" xfId="0" applyFont="1" applyFill="1" applyAlignment="1">
      <alignment horizontal="center"/>
    </xf>
    <xf numFmtId="0" fontId="22" fillId="3" borderId="0" xfId="0" applyFont="1" applyFill="1" applyAlignment="1">
      <alignment vertical="top"/>
    </xf>
    <xf numFmtId="0" fontId="25" fillId="10" borderId="0" xfId="0" applyFont="1" applyFill="1" applyAlignment="1">
      <alignment horizontal="left" vertical="top" indent="1"/>
    </xf>
    <xf numFmtId="0" fontId="18" fillId="3" borderId="0" xfId="0" applyFont="1" applyFill="1" applyAlignment="1">
      <alignment horizontal="left" vertical="top" indent="1"/>
    </xf>
    <xf numFmtId="0" fontId="20" fillId="0" borderId="0" xfId="0" applyFont="1" applyAlignment="1">
      <alignment horizontal="left" vertical="top" indent="1"/>
    </xf>
    <xf numFmtId="0" fontId="22" fillId="3" borderId="0" xfId="0" applyFont="1" applyFill="1" applyAlignment="1">
      <alignment horizontal="center" vertical="top"/>
    </xf>
    <xf numFmtId="0" fontId="36" fillId="15" borderId="0" xfId="0" applyFont="1" applyFill="1" applyAlignment="1">
      <alignment horizontal="left" vertical="top" wrapText="1" indent="1"/>
    </xf>
    <xf numFmtId="0" fontId="13" fillId="3" borderId="0" xfId="0" applyFont="1" applyFill="1" applyAlignment="1" applyProtection="1">
      <alignment horizontal="center" vertical="top"/>
      <protection locked="0"/>
    </xf>
    <xf numFmtId="0" fontId="22" fillId="3" borderId="0" xfId="0" applyFont="1" applyFill="1" applyAlignment="1" applyProtection="1">
      <alignment horizontal="center" vertical="top"/>
      <protection locked="0"/>
    </xf>
    <xf numFmtId="0" fontId="36" fillId="3" borderId="0" xfId="0" applyFont="1" applyFill="1" applyAlignment="1">
      <alignment horizontal="center" vertical="top"/>
    </xf>
    <xf numFmtId="0" fontId="17" fillId="0" borderId="0" xfId="8" applyFont="1" applyAlignment="1">
      <alignment horizontal="left" vertical="top"/>
    </xf>
    <xf numFmtId="0" fontId="19" fillId="0" borderId="0" xfId="8" applyFont="1" applyAlignment="1">
      <alignment vertical="top" wrapText="1"/>
    </xf>
    <xf numFmtId="49" fontId="22" fillId="5" borderId="0" xfId="8" applyNumberFormat="1" applyFont="1" applyFill="1" applyAlignment="1">
      <alignment horizontal="left" vertical="top"/>
    </xf>
    <xf numFmtId="49" fontId="22" fillId="5" borderId="0" xfId="8" applyNumberFormat="1" applyFont="1" applyFill="1" applyAlignment="1">
      <alignment horizontal="left" vertical="top" indent="1"/>
    </xf>
    <xf numFmtId="17" fontId="13" fillId="3" borderId="0" xfId="0" quotePrefix="1" applyNumberFormat="1" applyFont="1" applyFill="1" applyAlignment="1">
      <alignment vertical="top"/>
    </xf>
    <xf numFmtId="0" fontId="23" fillId="16" borderId="0" xfId="0" applyFont="1" applyFill="1" applyAlignment="1">
      <alignment vertical="top"/>
    </xf>
    <xf numFmtId="0" fontId="16" fillId="6" borderId="7" xfId="0" applyFont="1" applyFill="1" applyBorder="1" applyAlignment="1">
      <alignment horizontal="center" vertical="center"/>
    </xf>
    <xf numFmtId="0" fontId="13" fillId="3" borderId="0" xfId="0" applyFont="1" applyFill="1" applyAlignment="1">
      <alignment horizontal="left" wrapText="1" indent="1"/>
    </xf>
    <xf numFmtId="0" fontId="8" fillId="0" borderId="0" xfId="0" applyFont="1" applyAlignment="1">
      <alignment wrapText="1"/>
    </xf>
    <xf numFmtId="0" fontId="17" fillId="0" borderId="0" xfId="0" applyFont="1" applyAlignment="1">
      <alignment wrapText="1"/>
    </xf>
    <xf numFmtId="0" fontId="15" fillId="3" borderId="0" xfId="0" quotePrefix="1" applyFont="1" applyFill="1" applyAlignment="1">
      <alignment horizontal="left" vertical="top"/>
    </xf>
    <xf numFmtId="7" fontId="13" fillId="3" borderId="0" xfId="0" applyNumberFormat="1" applyFont="1" applyFill="1" applyAlignment="1">
      <alignment vertical="top" wrapText="1"/>
    </xf>
    <xf numFmtId="44" fontId="33" fillId="3" borderId="0" xfId="5" applyFont="1" applyFill="1" applyAlignment="1" applyProtection="1">
      <alignment horizontal="left" vertical="top" indent="1"/>
    </xf>
    <xf numFmtId="167" fontId="17" fillId="3" borderId="0" xfId="5" applyNumberFormat="1" applyFont="1" applyFill="1" applyAlignment="1">
      <alignment horizontal="right" vertical="top" wrapText="1"/>
    </xf>
    <xf numFmtId="0" fontId="43" fillId="3" borderId="7" xfId="0" applyFont="1" applyFill="1" applyBorder="1" applyAlignment="1">
      <alignment horizontal="left" vertical="center" wrapText="1"/>
    </xf>
    <xf numFmtId="0" fontId="43" fillId="3" borderId="8" xfId="0" applyFont="1" applyFill="1" applyBorder="1" applyAlignment="1">
      <alignment horizontal="left" vertical="center" wrapText="1"/>
    </xf>
    <xf numFmtId="0" fontId="49" fillId="5" borderId="0" xfId="8" applyFont="1" applyFill="1" applyAlignment="1">
      <alignment horizontal="left" vertical="top" wrapText="1"/>
    </xf>
    <xf numFmtId="0" fontId="13" fillId="6" borderId="0" xfId="0" applyFont="1" applyFill="1" applyAlignment="1">
      <alignment vertical="top" wrapText="1"/>
    </xf>
    <xf numFmtId="0" fontId="13" fillId="6" borderId="0" xfId="0" applyFont="1" applyFill="1" applyAlignment="1">
      <alignment vertical="top"/>
    </xf>
    <xf numFmtId="0" fontId="36" fillId="5" borderId="0" xfId="8" applyFont="1" applyFill="1" applyAlignment="1">
      <alignment horizontal="left" vertical="top" wrapText="1" indent="1"/>
    </xf>
    <xf numFmtId="0" fontId="45" fillId="5" borderId="0" xfId="8" applyFont="1" applyFill="1" applyAlignment="1">
      <alignment horizontal="left" vertical="top" wrapText="1" indent="1"/>
    </xf>
    <xf numFmtId="0" fontId="27" fillId="3" borderId="0" xfId="0" applyFont="1" applyFill="1" applyAlignment="1">
      <alignment horizontal="center"/>
    </xf>
    <xf numFmtId="0" fontId="50" fillId="0" borderId="0" xfId="0" quotePrefix="1" applyFont="1"/>
    <xf numFmtId="0" fontId="32" fillId="0" borderId="0" xfId="10" quotePrefix="1" applyFont="1" applyFill="1" applyAlignment="1">
      <alignment horizontal="left" indent="1"/>
    </xf>
    <xf numFmtId="0" fontId="13" fillId="0" borderId="0" xfId="0" quotePrefix="1" applyFont="1" applyAlignment="1">
      <alignment horizontal="left"/>
    </xf>
    <xf numFmtId="0" fontId="32" fillId="0" borderId="0" xfId="10" quotePrefix="1" applyFont="1" applyFill="1" applyAlignment="1">
      <alignment horizontal="left"/>
    </xf>
    <xf numFmtId="0" fontId="13" fillId="0" borderId="0" xfId="0" applyFont="1" applyAlignment="1">
      <alignment horizontal="left" vertical="center"/>
    </xf>
    <xf numFmtId="0" fontId="35" fillId="0" borderId="0" xfId="0" applyFont="1" applyAlignment="1">
      <alignment vertical="top" wrapText="1"/>
    </xf>
    <xf numFmtId="0" fontId="36" fillId="5" borderId="0" xfId="8" applyFont="1" applyFill="1" applyAlignment="1">
      <alignment vertical="top" wrapText="1"/>
    </xf>
    <xf numFmtId="0" fontId="23" fillId="6" borderId="0" xfId="0" applyFont="1" applyFill="1" applyAlignment="1">
      <alignment vertical="top"/>
    </xf>
    <xf numFmtId="0" fontId="22" fillId="0" borderId="0" xfId="0" applyFont="1" applyAlignment="1">
      <alignment horizontal="center" vertical="top"/>
    </xf>
    <xf numFmtId="0" fontId="6" fillId="3" borderId="0" xfId="10" applyFill="1"/>
    <xf numFmtId="0" fontId="13" fillId="3" borderId="0" xfId="5" applyNumberFormat="1" applyFont="1" applyFill="1"/>
    <xf numFmtId="0" fontId="13" fillId="3" borderId="0" xfId="0" applyFont="1" applyFill="1" applyAlignment="1">
      <alignment horizontal="left" vertical="top" wrapText="1"/>
    </xf>
    <xf numFmtId="0" fontId="14" fillId="8" borderId="0" xfId="0" applyFont="1" applyFill="1" applyAlignment="1">
      <alignment horizontal="center" vertical="top" wrapText="1"/>
    </xf>
    <xf numFmtId="0" fontId="9" fillId="8" borderId="0" xfId="0" applyFont="1" applyFill="1" applyAlignment="1">
      <alignment horizontal="left"/>
    </xf>
    <xf numFmtId="0" fontId="18" fillId="3" borderId="0" xfId="0" applyFont="1" applyFill="1" applyAlignment="1">
      <alignment horizontal="left" vertical="top"/>
    </xf>
    <xf numFmtId="0" fontId="0" fillId="3" borderId="0" xfId="0" applyFill="1" applyAlignment="1">
      <alignment horizontal="left" vertical="top" wrapText="1"/>
    </xf>
    <xf numFmtId="0" fontId="22" fillId="3" borderId="0" xfId="0" applyFont="1" applyFill="1" applyAlignment="1">
      <alignment horizontal="left" vertical="top"/>
    </xf>
    <xf numFmtId="0" fontId="22" fillId="3" borderId="0" xfId="0" applyFont="1" applyFill="1" applyAlignment="1">
      <alignment horizontal="left" vertical="top" wrapText="1"/>
    </xf>
    <xf numFmtId="0" fontId="9" fillId="10" borderId="0" xfId="0" applyFont="1" applyFill="1" applyAlignment="1">
      <alignment horizontal="left" vertical="top" wrapText="1"/>
    </xf>
    <xf numFmtId="0" fontId="9" fillId="10" borderId="0" xfId="0" applyFont="1" applyFill="1" applyAlignment="1">
      <alignment horizontal="center" vertical="top" wrapText="1"/>
    </xf>
    <xf numFmtId="0" fontId="22" fillId="3" borderId="0" xfId="0" applyFont="1" applyFill="1" applyAlignment="1">
      <alignment horizontal="left"/>
    </xf>
    <xf numFmtId="0" fontId="22" fillId="3" borderId="0" xfId="0" applyFont="1" applyFill="1" applyAlignment="1">
      <alignment horizontal="left" vertical="top" wrapText="1" indent="1"/>
    </xf>
    <xf numFmtId="0" fontId="22" fillId="3" borderId="0" xfId="0" applyFont="1" applyFill="1" applyAlignment="1">
      <alignment horizontal="left" vertical="top" indent="1"/>
    </xf>
    <xf numFmtId="0" fontId="22" fillId="15" borderId="0" xfId="0" applyFont="1" applyFill="1"/>
    <xf numFmtId="0" fontId="22" fillId="15" borderId="0" xfId="0" quotePrefix="1" applyFont="1" applyFill="1" applyAlignment="1">
      <alignment horizontal="left" vertical="top" wrapText="1" indent="1"/>
    </xf>
    <xf numFmtId="0" fontId="22" fillId="15" borderId="0" xfId="0" applyFont="1" applyFill="1" applyAlignment="1">
      <alignment horizontal="left" vertical="top" wrapText="1" indent="1"/>
    </xf>
    <xf numFmtId="0" fontId="18" fillId="3" borderId="0" xfId="0" applyFont="1" applyFill="1" applyAlignment="1">
      <alignment horizontal="left"/>
    </xf>
    <xf numFmtId="0" fontId="45" fillId="3" borderId="0" xfId="0" applyFont="1" applyFill="1" applyAlignment="1">
      <alignment horizontal="left"/>
    </xf>
    <xf numFmtId="0" fontId="22" fillId="15" borderId="0" xfId="0" applyFont="1" applyFill="1" applyAlignment="1">
      <alignment vertical="center"/>
    </xf>
    <xf numFmtId="0" fontId="13" fillId="3" borderId="0" xfId="0" applyFont="1" applyFill="1" applyAlignment="1">
      <alignment horizontal="left" vertical="top" wrapText="1" indent="1"/>
    </xf>
    <xf numFmtId="0" fontId="36" fillId="15" borderId="0" xfId="0" applyFont="1" applyFill="1" applyAlignment="1">
      <alignment wrapText="1"/>
    </xf>
    <xf numFmtId="0" fontId="15" fillId="3" borderId="0" xfId="0" applyFont="1" applyFill="1" applyAlignment="1">
      <alignment horizontal="left" vertical="top" wrapText="1"/>
    </xf>
    <xf numFmtId="0" fontId="17" fillId="7" borderId="0" xfId="0" applyFont="1" applyFill="1" applyAlignment="1">
      <alignment horizontal="left"/>
    </xf>
    <xf numFmtId="0" fontId="15" fillId="3" borderId="0" xfId="0" applyFont="1" applyFill="1" applyAlignment="1">
      <alignment horizontal="left" vertical="top" wrapText="1" indent="1"/>
    </xf>
  </cellXfs>
  <cellStyles count="11">
    <cellStyle name="Hyperlink" xfId="6" xr:uid="{00000000-0005-0000-0000-000001000000}"/>
    <cellStyle name="Link" xfId="10" builtinId="8"/>
    <cellStyle name="Normal 2" xfId="3" xr:uid="{00000000-0005-0000-0000-000003000000}"/>
    <cellStyle name="Prozent" xfId="7" builtinId="5"/>
    <cellStyle name="Standard" xfId="0" builtinId="0"/>
    <cellStyle name="Standard 2" xfId="1" xr:uid="{00000000-0005-0000-0000-000006000000}"/>
    <cellStyle name="Standard 2 2" xfId="9" xr:uid="{45CD3B6F-DC00-4837-A466-E64174EA6E6B}"/>
    <cellStyle name="Standard 3" xfId="2" xr:uid="{00000000-0005-0000-0000-000007000000}"/>
    <cellStyle name="Standard 4" xfId="8" xr:uid="{00000000-0005-0000-0000-000008000000}"/>
    <cellStyle name="Standard 6" xfId="4" xr:uid="{00000000-0005-0000-0000-000009000000}"/>
    <cellStyle name="Währung" xfId="5" builtinId="4"/>
  </cellStyles>
  <dxfs count="158">
    <dxf>
      <border>
        <left style="thin">
          <color rgb="FF05C3DC"/>
        </left>
        <right style="thin">
          <color rgb="FF05C3DC"/>
        </right>
        <top style="thin">
          <color rgb="FF05C3DC"/>
        </top>
        <bottom style="thin">
          <color rgb="FF05C3DC"/>
        </bottom>
        <vertical/>
        <horizontal/>
      </border>
    </dxf>
    <dxf>
      <fill>
        <patternFill>
          <bgColor rgb="FFDF0917"/>
        </patternFill>
      </fill>
    </dxf>
    <dxf>
      <fill>
        <patternFill>
          <bgColor rgb="FFFFD500"/>
        </patternFill>
      </fill>
    </dxf>
    <dxf>
      <fill>
        <patternFill>
          <bgColor rgb="FF059E7F"/>
        </patternFill>
      </fill>
    </dxf>
    <dxf>
      <fill>
        <patternFill>
          <bgColor rgb="FF059E7F"/>
        </patternFill>
      </fill>
    </dxf>
    <dxf>
      <fill>
        <patternFill>
          <bgColor rgb="FFFFD500"/>
        </patternFill>
      </fill>
    </dxf>
    <dxf>
      <fill>
        <patternFill>
          <bgColor rgb="FFDF0917"/>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font>
        <b/>
        <i val="0"/>
      </font>
      <fill>
        <patternFill>
          <bgColor theme="0" tint="-4.9989318521683403E-2"/>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font>
        <color theme="0"/>
      </font>
      <fill>
        <patternFill>
          <bgColor rgb="FFDF0917"/>
        </patternFill>
      </fill>
    </dxf>
    <dxf>
      <font>
        <color theme="0"/>
      </font>
      <fill>
        <patternFill>
          <bgColor rgb="FF059E7F"/>
        </patternFill>
      </fill>
    </dxf>
    <dxf>
      <font>
        <color theme="0"/>
      </font>
      <fill>
        <patternFill>
          <bgColor rgb="FFFFD500"/>
        </patternFill>
      </fill>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ont>
        <b/>
        <i val="0"/>
      </font>
      <fill>
        <patternFill>
          <bgColor theme="0" tint="-4.9989318521683403E-2"/>
        </patternFill>
      </fill>
    </dxf>
    <dxf>
      <fill>
        <patternFill>
          <bgColor rgb="FF1E466E"/>
        </patternFill>
      </fill>
    </dxf>
    <dxf>
      <font>
        <b/>
        <i val="0"/>
      </font>
      <fill>
        <patternFill>
          <bgColor theme="0" tint="-4.9989318521683403E-2"/>
        </patternFill>
      </fill>
    </dxf>
    <dxf>
      <font>
        <b val="0"/>
        <i val="0"/>
        <strike val="0"/>
        <condense val="0"/>
        <extend val="0"/>
        <outline val="0"/>
        <shadow val="0"/>
        <u val="none"/>
        <vertAlign val="baseline"/>
        <sz val="9"/>
        <color theme="1"/>
        <name val="Trebuchet MS"/>
        <scheme val="none"/>
      </font>
      <fill>
        <patternFill patternType="solid">
          <fgColor indexed="64"/>
          <bgColor rgb="FF4FFF5A"/>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fill>
        <patternFill patternType="solid">
          <fgColor indexed="64"/>
          <bgColor rgb="FF4FFF5A"/>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family val="2"/>
        <scheme val="none"/>
      </font>
      <protection locked="0" hidden="0"/>
    </dxf>
    <dxf>
      <font>
        <b val="0"/>
        <i val="0"/>
        <strike val="0"/>
        <condense val="0"/>
        <extend val="0"/>
        <outline val="0"/>
        <shadow val="0"/>
        <u val="none"/>
        <vertAlign val="baseline"/>
        <sz val="9"/>
        <color theme="1"/>
        <name val="Trebuchet MS"/>
        <family val="2"/>
        <scheme val="none"/>
      </font>
      <protection locked="0" hidden="0"/>
    </dxf>
    <dxf>
      <font>
        <b/>
        <i val="0"/>
        <strike val="0"/>
        <condense val="0"/>
        <extend val="0"/>
        <outline val="0"/>
        <shadow val="0"/>
        <u val="none"/>
        <vertAlign val="baseline"/>
        <sz val="9"/>
        <color theme="1"/>
        <name val="Trebuchet MS"/>
        <scheme val="none"/>
      </font>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fill>
        <patternFill patternType="solid">
          <fgColor indexed="64"/>
          <bgColor rgb="FF4FFF5A"/>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fill>
        <patternFill patternType="solid">
          <fgColor indexed="64"/>
          <bgColor rgb="FF1D466E"/>
        </patternFill>
      </fill>
      <alignment horizontal="center" vertical="bottom" textRotation="0" wrapText="0" indent="0" justifyLastLine="0" shrinkToFit="0" readingOrder="0"/>
      <protection locked="0" hidden="0"/>
    </dxf>
  </dxfs>
  <tableStyles count="0" defaultTableStyle="TableStyleMedium2" defaultPivotStyle="PivotStyleLight16"/>
  <colors>
    <mruColors>
      <color rgb="FFC2F7FE"/>
      <color rgb="FFA1F2FD"/>
      <color rgb="FF05C3DC"/>
      <color rgb="FF1E466E"/>
      <color rgb="FF1D466E"/>
      <color rgb="FFDF0917"/>
      <color rgb="FF4FFF5A"/>
      <color rgb="FF07C0DA"/>
      <color rgb="FF059E7F"/>
      <color rgb="FFFFD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2042</xdr:rowOff>
    </xdr:to>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2077700" y="1043940"/>
          <a:ext cx="0" cy="2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8EEE4431-F8B5-4685-862C-A58CF4AC86E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174240" y="13335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32AB9793-F0D5-454F-85C5-82552136EDD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08A027AC-B51C-4831-9B8E-E7C8E881BD89}"/>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4543223</xdr:colOff>
      <xdr:row>0</xdr:row>
      <xdr:rowOff>1197552</xdr:rowOff>
    </xdr:to>
    <xdr:grpSp>
      <xdr:nvGrpSpPr>
        <xdr:cNvPr id="5" name="Gruppieren 4">
          <a:extLst>
            <a:ext uri="{FF2B5EF4-FFF2-40B4-BE49-F238E27FC236}">
              <a16:creationId xmlns:a16="http://schemas.microsoft.com/office/drawing/2014/main" id="{08DDFC6B-A9B0-4E2E-A881-FDF9FB3FFF39}"/>
            </a:ext>
          </a:extLst>
        </xdr:cNvPr>
        <xdr:cNvGrpSpPr/>
      </xdr:nvGrpSpPr>
      <xdr:grpSpPr>
        <a:xfrm>
          <a:off x="0" y="0"/>
          <a:ext cx="6962097" cy="1201362"/>
          <a:chOff x="0" y="-94249"/>
          <a:chExt cx="7675832" cy="1188478"/>
        </a:xfrm>
      </xdr:grpSpPr>
      <xdr:pic>
        <xdr:nvPicPr>
          <xdr:cNvPr id="6" name="Grafik 5">
            <a:extLst>
              <a:ext uri="{FF2B5EF4-FFF2-40B4-BE49-F238E27FC236}">
                <a16:creationId xmlns:a16="http://schemas.microsoft.com/office/drawing/2014/main" id="{070F52C6-58EF-1DF2-274B-FDAEA03F7A03}"/>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7" name="Rechteck 6">
            <a:extLst>
              <a:ext uri="{FF2B5EF4-FFF2-40B4-BE49-F238E27FC236}">
                <a16:creationId xmlns:a16="http://schemas.microsoft.com/office/drawing/2014/main" id="{86061AF2-D3A1-41FB-5A4D-AF040D34C4C3}"/>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3" name="Rechteck 12">
            <a:extLst>
              <a:ext uri="{FF2B5EF4-FFF2-40B4-BE49-F238E27FC236}">
                <a16:creationId xmlns:a16="http://schemas.microsoft.com/office/drawing/2014/main" id="{1EA5C406-98EC-B64F-C92E-3516984D7E88}"/>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4" name="Grafik 13">
            <a:extLst>
              <a:ext uri="{FF2B5EF4-FFF2-40B4-BE49-F238E27FC236}">
                <a16:creationId xmlns:a16="http://schemas.microsoft.com/office/drawing/2014/main" id="{38055517-5639-7628-3A6F-8874B6FC67D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676BD14E-1377-4CEC-950B-C0A7E0F48198}"/>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174240" y="1257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786E12F1-13FD-4CB6-91BD-C55AF675FE84}"/>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5BF282A2-B44C-44E5-A2BC-1D42463D6385}"/>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16929</xdr:colOff>
      <xdr:row>0</xdr:row>
      <xdr:rowOff>0</xdr:rowOff>
    </xdr:from>
    <xdr:to>
      <xdr:col>3</xdr:col>
      <xdr:colOff>4823677</xdr:colOff>
      <xdr:row>0</xdr:row>
      <xdr:rowOff>1197552</xdr:rowOff>
    </xdr:to>
    <xdr:grpSp>
      <xdr:nvGrpSpPr>
        <xdr:cNvPr id="15" name="Gruppieren 14">
          <a:extLst>
            <a:ext uri="{FF2B5EF4-FFF2-40B4-BE49-F238E27FC236}">
              <a16:creationId xmlns:a16="http://schemas.microsoft.com/office/drawing/2014/main" id="{028A8764-84A1-45A8-8AD9-8EDF10EA6C55}"/>
            </a:ext>
          </a:extLst>
        </xdr:cNvPr>
        <xdr:cNvGrpSpPr/>
      </xdr:nvGrpSpPr>
      <xdr:grpSpPr>
        <a:xfrm>
          <a:off x="20739" y="0"/>
          <a:ext cx="6958128" cy="1201362"/>
          <a:chOff x="0" y="-94249"/>
          <a:chExt cx="7675832" cy="1188478"/>
        </a:xfrm>
      </xdr:grpSpPr>
      <xdr:pic>
        <xdr:nvPicPr>
          <xdr:cNvPr id="16" name="Grafik 15">
            <a:extLst>
              <a:ext uri="{FF2B5EF4-FFF2-40B4-BE49-F238E27FC236}">
                <a16:creationId xmlns:a16="http://schemas.microsoft.com/office/drawing/2014/main" id="{29AA2818-9FA5-AE06-FF8B-236F8F5BE8F4}"/>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7" name="Rechteck 16">
            <a:extLst>
              <a:ext uri="{FF2B5EF4-FFF2-40B4-BE49-F238E27FC236}">
                <a16:creationId xmlns:a16="http://schemas.microsoft.com/office/drawing/2014/main" id="{5B4AC069-D9DD-AEB6-BC96-EFEA37562EBA}"/>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8" name="Rechteck 17">
            <a:extLst>
              <a:ext uri="{FF2B5EF4-FFF2-40B4-BE49-F238E27FC236}">
                <a16:creationId xmlns:a16="http://schemas.microsoft.com/office/drawing/2014/main" id="{94287962-4A2C-4297-0478-A2417355340D}"/>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9" name="Grafik 18">
            <a:extLst>
              <a:ext uri="{FF2B5EF4-FFF2-40B4-BE49-F238E27FC236}">
                <a16:creationId xmlns:a16="http://schemas.microsoft.com/office/drawing/2014/main" id="{61415B3D-BE67-E565-BAAC-FFE4C2031FA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2320088</xdr:colOff>
      <xdr:row>0</xdr:row>
      <xdr:rowOff>1197552</xdr:rowOff>
    </xdr:to>
    <xdr:grpSp>
      <xdr:nvGrpSpPr>
        <xdr:cNvPr id="12" name="Gruppieren 11">
          <a:extLst>
            <a:ext uri="{FF2B5EF4-FFF2-40B4-BE49-F238E27FC236}">
              <a16:creationId xmlns:a16="http://schemas.microsoft.com/office/drawing/2014/main" id="{E514404C-78DF-472E-8DA2-129F86E9FB63}"/>
            </a:ext>
          </a:extLst>
        </xdr:cNvPr>
        <xdr:cNvGrpSpPr/>
      </xdr:nvGrpSpPr>
      <xdr:grpSpPr>
        <a:xfrm>
          <a:off x="0" y="0"/>
          <a:ext cx="6985433" cy="1201362"/>
          <a:chOff x="0" y="-94249"/>
          <a:chExt cx="7675832" cy="1188478"/>
        </a:xfrm>
      </xdr:grpSpPr>
      <xdr:pic>
        <xdr:nvPicPr>
          <xdr:cNvPr id="13" name="Grafik 12">
            <a:extLst>
              <a:ext uri="{FF2B5EF4-FFF2-40B4-BE49-F238E27FC236}">
                <a16:creationId xmlns:a16="http://schemas.microsoft.com/office/drawing/2014/main" id="{744FEAA7-E32D-679A-5A35-AF43D755A371}"/>
              </a:ext>
            </a:extLst>
          </xdr:cNvPr>
          <xdr:cNvPicPr>
            <a:picLocks noChangeAspect="1"/>
          </xdr:cNvPicPr>
        </xdr:nvPicPr>
        <xdr:blipFill>
          <a:blip xmlns:r="http://schemas.openxmlformats.org/officeDocument/2006/relationships" r:embed="rId1"/>
          <a:stretch>
            <a:fillRect/>
          </a:stretch>
        </xdr:blipFill>
        <xdr:spPr>
          <a:xfrm>
            <a:off x="0" y="11641"/>
            <a:ext cx="2290711" cy="598885"/>
          </a:xfrm>
          <a:prstGeom prst="rect">
            <a:avLst/>
          </a:prstGeom>
        </xdr:spPr>
      </xdr:pic>
      <xdr:sp macro="" textlink="">
        <xdr:nvSpPr>
          <xdr:cNvPr id="14" name="Rechteck 13">
            <a:extLst>
              <a:ext uri="{FF2B5EF4-FFF2-40B4-BE49-F238E27FC236}">
                <a16:creationId xmlns:a16="http://schemas.microsoft.com/office/drawing/2014/main" id="{A7845C9E-F05C-C191-E3A5-304BAA51D0C0}"/>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5" name="Rechteck 14">
            <a:extLst>
              <a:ext uri="{FF2B5EF4-FFF2-40B4-BE49-F238E27FC236}">
                <a16:creationId xmlns:a16="http://schemas.microsoft.com/office/drawing/2014/main" id="{8B2A679D-6854-2575-5A4E-BABF1208B81C}"/>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6" name="Grafik 15">
            <a:extLst>
              <a:ext uri="{FF2B5EF4-FFF2-40B4-BE49-F238E27FC236}">
                <a16:creationId xmlns:a16="http://schemas.microsoft.com/office/drawing/2014/main" id="{27D8F367-034A-FD07-4BFF-9275D29BA3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30000</xdr:colOff>
      <xdr:row>0</xdr:row>
      <xdr:rowOff>3175</xdr:rowOff>
    </xdr:to>
    <xdr:pic>
      <xdr:nvPicPr>
        <xdr:cNvPr id="2" name="Grafik 1">
          <a:extLst>
            <a:ext uri="{FF2B5EF4-FFF2-40B4-BE49-F238E27FC236}">
              <a16:creationId xmlns:a16="http://schemas.microsoft.com/office/drawing/2014/main" id="{8AE79065-98F0-4983-A402-254E8E63A417}"/>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247900" y="0"/>
          <a:ext cx="203787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3" name="Grafik 2">
          <a:extLst>
            <a:ext uri="{FF2B5EF4-FFF2-40B4-BE49-F238E27FC236}">
              <a16:creationId xmlns:a16="http://schemas.microsoft.com/office/drawing/2014/main" id="{B2B52CF9-F42A-4B4F-BECF-188EE6FEB8E7}"/>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81050" y="0"/>
          <a:ext cx="149494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4</xdr:col>
      <xdr:colOff>607281</xdr:colOff>
      <xdr:row>0</xdr:row>
      <xdr:rowOff>1197552</xdr:rowOff>
    </xdr:to>
    <xdr:grpSp>
      <xdr:nvGrpSpPr>
        <xdr:cNvPr id="4" name="Gruppieren 3">
          <a:extLst>
            <a:ext uri="{FF2B5EF4-FFF2-40B4-BE49-F238E27FC236}">
              <a16:creationId xmlns:a16="http://schemas.microsoft.com/office/drawing/2014/main" id="{BBBC6676-F364-4BF2-9D11-C7A061F85E6B}"/>
            </a:ext>
          </a:extLst>
        </xdr:cNvPr>
        <xdr:cNvGrpSpPr/>
      </xdr:nvGrpSpPr>
      <xdr:grpSpPr>
        <a:xfrm>
          <a:off x="0" y="0"/>
          <a:ext cx="6965219" cy="1201362"/>
          <a:chOff x="0" y="-94249"/>
          <a:chExt cx="7675832" cy="1188478"/>
        </a:xfrm>
      </xdr:grpSpPr>
      <xdr:pic>
        <xdr:nvPicPr>
          <xdr:cNvPr id="5" name="Grafik 4">
            <a:extLst>
              <a:ext uri="{FF2B5EF4-FFF2-40B4-BE49-F238E27FC236}">
                <a16:creationId xmlns:a16="http://schemas.microsoft.com/office/drawing/2014/main" id="{0926DA43-0AAC-571A-2B85-0B20AE162DBC}"/>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6" name="Rechteck 5">
            <a:extLst>
              <a:ext uri="{FF2B5EF4-FFF2-40B4-BE49-F238E27FC236}">
                <a16:creationId xmlns:a16="http://schemas.microsoft.com/office/drawing/2014/main" id="{A2B7CF39-0236-91CF-B4A1-41EFFF995019}"/>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7" name="Rechteck 6">
            <a:extLst>
              <a:ext uri="{FF2B5EF4-FFF2-40B4-BE49-F238E27FC236}">
                <a16:creationId xmlns:a16="http://schemas.microsoft.com/office/drawing/2014/main" id="{167D23C0-C9B5-8CE9-258C-AE1596D42A66}"/>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8" name="Grafik 7">
            <a:extLst>
              <a:ext uri="{FF2B5EF4-FFF2-40B4-BE49-F238E27FC236}">
                <a16:creationId xmlns:a16="http://schemas.microsoft.com/office/drawing/2014/main" id="{216644C8-7B76-A3D6-6AF8-2FE58345FA6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6715125</xdr:colOff>
      <xdr:row>0</xdr:row>
      <xdr:rowOff>9525</xdr:rowOff>
    </xdr:from>
    <xdr:to>
      <xdr:col>5</xdr:col>
      <xdr:colOff>7507125</xdr:colOff>
      <xdr:row>0</xdr:row>
      <xdr:rowOff>11567</xdr:rowOff>
    </xdr:to>
    <xdr:pic>
      <xdr:nvPicPr>
        <xdr:cNvPr id="8" name="Grafik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9969500" y="6350"/>
          <a:ext cx="4600" cy="659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782475</xdr:colOff>
      <xdr:row>0</xdr:row>
      <xdr:rowOff>2042</xdr:rowOff>
    </xdr:to>
    <xdr:pic>
      <xdr:nvPicPr>
        <xdr:cNvPr id="9" name="Grafik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0" y="0"/>
          <a:ext cx="782475" cy="659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333374</xdr:colOff>
      <xdr:row>0</xdr:row>
      <xdr:rowOff>936990</xdr:rowOff>
    </xdr:to>
    <xdr:grpSp>
      <xdr:nvGrpSpPr>
        <xdr:cNvPr id="7" name="Gruppieren 6">
          <a:extLst>
            <a:ext uri="{FF2B5EF4-FFF2-40B4-BE49-F238E27FC236}">
              <a16:creationId xmlns:a16="http://schemas.microsoft.com/office/drawing/2014/main" id="{00000000-0008-0000-0100-000007000000}"/>
            </a:ext>
          </a:extLst>
        </xdr:cNvPr>
        <xdr:cNvGrpSpPr/>
      </xdr:nvGrpSpPr>
      <xdr:grpSpPr>
        <a:xfrm>
          <a:off x="0" y="0"/>
          <a:ext cx="7679326" cy="933180"/>
          <a:chOff x="0" y="2821"/>
          <a:chExt cx="7810503" cy="936979"/>
        </a:xfrm>
      </xdr:grpSpPr>
      <xdr:grpSp>
        <xdr:nvGrpSpPr>
          <xdr:cNvPr id="11" name="Gruppieren 10">
            <a:extLst>
              <a:ext uri="{FF2B5EF4-FFF2-40B4-BE49-F238E27FC236}">
                <a16:creationId xmlns:a16="http://schemas.microsoft.com/office/drawing/2014/main" id="{00000000-0008-0000-0100-00000B000000}"/>
              </a:ext>
            </a:extLst>
          </xdr:cNvPr>
          <xdr:cNvGrpSpPr/>
        </xdr:nvGrpSpPr>
        <xdr:grpSpPr>
          <a:xfrm>
            <a:off x="0" y="2821"/>
            <a:ext cx="3717774" cy="618350"/>
            <a:chOff x="0" y="12346"/>
            <a:chExt cx="3717774" cy="618350"/>
          </a:xfrm>
        </xdr:grpSpPr>
        <xdr:pic>
          <xdr:nvPicPr>
            <xdr:cNvPr id="13" name="Grafik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a:stretch>
              <a:fillRect/>
            </a:stretch>
          </xdr:blipFill>
          <xdr:spPr>
            <a:xfrm>
              <a:off x="0" y="22052"/>
              <a:ext cx="2326617" cy="598938"/>
            </a:xfrm>
            <a:prstGeom prst="rect">
              <a:avLst/>
            </a:prstGeom>
          </xdr:spPr>
        </xdr:pic>
        <xdr:sp macro="" textlink="">
          <xdr:nvSpPr>
            <xdr:cNvPr id="14" name="Rechteck 13">
              <a:extLst>
                <a:ext uri="{FF2B5EF4-FFF2-40B4-BE49-F238E27FC236}">
                  <a16:creationId xmlns:a16="http://schemas.microsoft.com/office/drawing/2014/main" id="{00000000-0008-0000-0100-00000E000000}"/>
                </a:ext>
              </a:extLst>
            </xdr:cNvPr>
            <xdr:cNvSpPr/>
          </xdr:nvSpPr>
          <xdr:spPr>
            <a:xfrm>
              <a:off x="2333625" y="12346"/>
              <a:ext cx="1384149" cy="618350"/>
            </a:xfrm>
            <a:prstGeom prst="rect">
              <a:avLst/>
            </a:prstGeom>
            <a:solidFill>
              <a:schemeClr val="bg1"/>
            </a:solidFill>
            <a:ln w="76200">
              <a:solidFill>
                <a:srgbClr val="07C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grpSp>
      <xdr:sp macro="" textlink="">
        <xdr:nvSpPr>
          <xdr:cNvPr id="12" name="Rechteck 11">
            <a:extLst>
              <a:ext uri="{FF2B5EF4-FFF2-40B4-BE49-F238E27FC236}">
                <a16:creationId xmlns:a16="http://schemas.microsoft.com/office/drawing/2014/main" id="{00000000-0008-0000-0100-00000C000000}"/>
              </a:ext>
            </a:extLst>
          </xdr:cNvPr>
          <xdr:cNvSpPr/>
        </xdr:nvSpPr>
        <xdr:spPr>
          <a:xfrm>
            <a:off x="200087" y="701675"/>
            <a:ext cx="7610416"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785650</xdr:colOff>
      <xdr:row>0</xdr:row>
      <xdr:rowOff>2042</xdr:rowOff>
    </xdr:to>
    <xdr:pic>
      <xdr:nvPicPr>
        <xdr:cNvPr id="2" name="Grafi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600200" y="0"/>
          <a:ext cx="788825" cy="2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91722</xdr:rowOff>
    </xdr:from>
    <xdr:to>
      <xdr:col>2</xdr:col>
      <xdr:colOff>3070200</xdr:colOff>
      <xdr:row>1</xdr:row>
      <xdr:rowOff>259163</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0" y="95532"/>
          <a:ext cx="6952590" cy="1190426"/>
          <a:chOff x="0" y="-94249"/>
          <a:chExt cx="7675832" cy="1188478"/>
        </a:xfrm>
      </xdr:grpSpPr>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6" name="Rechteck 5">
            <a:extLst>
              <a:ext uri="{FF2B5EF4-FFF2-40B4-BE49-F238E27FC236}">
                <a16:creationId xmlns:a16="http://schemas.microsoft.com/office/drawing/2014/main" id="{00000000-0008-0000-0200-000006000000}"/>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7" name="Rechteck 6">
            <a:extLst>
              <a:ext uri="{FF2B5EF4-FFF2-40B4-BE49-F238E27FC236}">
                <a16:creationId xmlns:a16="http://schemas.microsoft.com/office/drawing/2014/main" id="{00000000-0008-0000-0200-000007000000}"/>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8" name="Grafik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3130691" y="80804"/>
            <a:ext cx="1728667" cy="48314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42332</xdr:colOff>
      <xdr:row>0</xdr:row>
      <xdr:rowOff>8460</xdr:rowOff>
    </xdr:from>
    <xdr:to>
      <xdr:col>4</xdr:col>
      <xdr:colOff>4696680</xdr:colOff>
      <xdr:row>2</xdr:row>
      <xdr:rowOff>3745</xdr:rowOff>
    </xdr:to>
    <xdr:grpSp>
      <xdr:nvGrpSpPr>
        <xdr:cNvPr id="2" name="Gruppieren 1">
          <a:extLst>
            <a:ext uri="{FF2B5EF4-FFF2-40B4-BE49-F238E27FC236}">
              <a16:creationId xmlns:a16="http://schemas.microsoft.com/office/drawing/2014/main" id="{A2D868DE-74F1-4476-8397-5D4E357698C0}"/>
            </a:ext>
          </a:extLst>
        </xdr:cNvPr>
        <xdr:cNvGrpSpPr/>
      </xdr:nvGrpSpPr>
      <xdr:grpSpPr>
        <a:xfrm>
          <a:off x="44237" y="10365"/>
          <a:ext cx="6966325" cy="1196994"/>
          <a:chOff x="0" y="-94249"/>
          <a:chExt cx="7675832" cy="1188478"/>
        </a:xfrm>
      </xdr:grpSpPr>
      <xdr:pic>
        <xdr:nvPicPr>
          <xdr:cNvPr id="3" name="Grafik 2">
            <a:extLst>
              <a:ext uri="{FF2B5EF4-FFF2-40B4-BE49-F238E27FC236}">
                <a16:creationId xmlns:a16="http://schemas.microsoft.com/office/drawing/2014/main" id="{2A82E3EB-8615-A1CF-FCCC-79D7A063E940}"/>
              </a:ext>
            </a:extLst>
          </xdr:cNvPr>
          <xdr:cNvPicPr>
            <a:picLocks noChangeAspect="1"/>
          </xdr:cNvPicPr>
        </xdr:nvPicPr>
        <xdr:blipFill>
          <a:blip xmlns:r="http://schemas.openxmlformats.org/officeDocument/2006/relationships" r:embed="rId1"/>
          <a:stretch>
            <a:fillRect/>
          </a:stretch>
        </xdr:blipFill>
        <xdr:spPr>
          <a:xfrm>
            <a:off x="0" y="11641"/>
            <a:ext cx="2290711" cy="598885"/>
          </a:xfrm>
          <a:prstGeom prst="rect">
            <a:avLst/>
          </a:prstGeom>
        </xdr:spPr>
      </xdr:pic>
      <xdr:sp macro="" textlink="">
        <xdr:nvSpPr>
          <xdr:cNvPr id="4" name="Rechteck 3">
            <a:extLst>
              <a:ext uri="{FF2B5EF4-FFF2-40B4-BE49-F238E27FC236}">
                <a16:creationId xmlns:a16="http://schemas.microsoft.com/office/drawing/2014/main" id="{674F432D-F454-837D-4FE5-9DA0B0856F00}"/>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5" name="Rechteck 4">
            <a:extLst>
              <a:ext uri="{FF2B5EF4-FFF2-40B4-BE49-F238E27FC236}">
                <a16:creationId xmlns:a16="http://schemas.microsoft.com/office/drawing/2014/main" id="{4A69C1AA-94B1-A8E8-27BC-FCB1D94DA382}"/>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6" name="Grafik 5">
            <a:extLst>
              <a:ext uri="{FF2B5EF4-FFF2-40B4-BE49-F238E27FC236}">
                <a16:creationId xmlns:a16="http://schemas.microsoft.com/office/drawing/2014/main" id="{7D39E7AA-13C2-4C89-CF6F-646A3BCFD5E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197100" y="11963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63040" y="0"/>
          <a:ext cx="76152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31520" y="0"/>
          <a:ext cx="76152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4798811</xdr:colOff>
      <xdr:row>0</xdr:row>
      <xdr:rowOff>1197552</xdr:rowOff>
    </xdr:to>
    <xdr:grpSp>
      <xdr:nvGrpSpPr>
        <xdr:cNvPr id="15" name="Gruppieren 14">
          <a:extLst>
            <a:ext uri="{FF2B5EF4-FFF2-40B4-BE49-F238E27FC236}">
              <a16:creationId xmlns:a16="http://schemas.microsoft.com/office/drawing/2014/main" id="{630EA288-68B8-4FBB-BCF6-02BFA6B59AB3}"/>
            </a:ext>
          </a:extLst>
        </xdr:cNvPr>
        <xdr:cNvGrpSpPr/>
      </xdr:nvGrpSpPr>
      <xdr:grpSpPr>
        <a:xfrm>
          <a:off x="0" y="0"/>
          <a:ext cx="6957811" cy="1201362"/>
          <a:chOff x="0" y="-94249"/>
          <a:chExt cx="7675832" cy="1188478"/>
        </a:xfrm>
      </xdr:grpSpPr>
      <xdr:pic>
        <xdr:nvPicPr>
          <xdr:cNvPr id="16" name="Grafik 15">
            <a:extLst>
              <a:ext uri="{FF2B5EF4-FFF2-40B4-BE49-F238E27FC236}">
                <a16:creationId xmlns:a16="http://schemas.microsoft.com/office/drawing/2014/main" id="{3AC54987-140E-15E3-2C13-6D22AFC1C0CD}"/>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7" name="Rechteck 16">
            <a:extLst>
              <a:ext uri="{FF2B5EF4-FFF2-40B4-BE49-F238E27FC236}">
                <a16:creationId xmlns:a16="http://schemas.microsoft.com/office/drawing/2014/main" id="{C05177FB-6D66-CD15-5B20-7CC9C93A12BA}"/>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8" name="Rechteck 17">
            <a:extLst>
              <a:ext uri="{FF2B5EF4-FFF2-40B4-BE49-F238E27FC236}">
                <a16:creationId xmlns:a16="http://schemas.microsoft.com/office/drawing/2014/main" id="{355D92D4-22F8-DA33-A6E0-EB221B5FFA90}"/>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9" name="Grafik 18">
            <a:extLst>
              <a:ext uri="{FF2B5EF4-FFF2-40B4-BE49-F238E27FC236}">
                <a16:creationId xmlns:a16="http://schemas.microsoft.com/office/drawing/2014/main" id="{BEF089BC-2746-5FE9-2E83-F768C39399C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3130691" y="80804"/>
            <a:ext cx="1728667" cy="483144"/>
          </a:xfrm>
          <a:prstGeom prst="rect">
            <a:avLst/>
          </a:prstGeom>
        </xdr:spPr>
      </xdr:pic>
    </xdr:grpSp>
    <xdr:clientData/>
  </xdr:twoCellAnchor>
  <xdr:twoCellAnchor>
    <xdr:from>
      <xdr:col>2</xdr:col>
      <xdr:colOff>0</xdr:colOff>
      <xdr:row>0</xdr:row>
      <xdr:rowOff>0</xdr:rowOff>
    </xdr:from>
    <xdr:to>
      <xdr:col>3</xdr:col>
      <xdr:colOff>30000</xdr:colOff>
      <xdr:row>0</xdr:row>
      <xdr:rowOff>3175</xdr:rowOff>
    </xdr:to>
    <xdr:pic>
      <xdr:nvPicPr>
        <xdr:cNvPr id="5" name="Grafik 4">
          <a:extLst>
            <a:ext uri="{FF2B5EF4-FFF2-40B4-BE49-F238E27FC236}">
              <a16:creationId xmlns:a16="http://schemas.microsoft.com/office/drawing/2014/main" id="{DA52E542-1C02-44D9-B6BE-DBAAF86E4EF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6" name="Grafik 5">
          <a:extLst>
            <a:ext uri="{FF2B5EF4-FFF2-40B4-BE49-F238E27FC236}">
              <a16:creationId xmlns:a16="http://schemas.microsoft.com/office/drawing/2014/main" id="{B943482A-D1DD-4A0D-A56E-09CC6E1BC9C7}"/>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4806748</xdr:colOff>
      <xdr:row>0</xdr:row>
      <xdr:rowOff>1197552</xdr:rowOff>
    </xdr:to>
    <xdr:grpSp>
      <xdr:nvGrpSpPr>
        <xdr:cNvPr id="7" name="Gruppieren 6">
          <a:extLst>
            <a:ext uri="{FF2B5EF4-FFF2-40B4-BE49-F238E27FC236}">
              <a16:creationId xmlns:a16="http://schemas.microsoft.com/office/drawing/2014/main" id="{A100CC28-F5F0-4476-B754-7C15FB18D68C}"/>
            </a:ext>
          </a:extLst>
        </xdr:cNvPr>
        <xdr:cNvGrpSpPr/>
      </xdr:nvGrpSpPr>
      <xdr:grpSpPr>
        <a:xfrm>
          <a:off x="0" y="0"/>
          <a:ext cx="6967653" cy="1201362"/>
          <a:chOff x="0" y="-94249"/>
          <a:chExt cx="7675832" cy="1188478"/>
        </a:xfrm>
      </xdr:grpSpPr>
      <xdr:pic>
        <xdr:nvPicPr>
          <xdr:cNvPr id="8" name="Grafik 7">
            <a:extLst>
              <a:ext uri="{FF2B5EF4-FFF2-40B4-BE49-F238E27FC236}">
                <a16:creationId xmlns:a16="http://schemas.microsoft.com/office/drawing/2014/main" id="{A2EF2FEA-6185-434B-6ECC-741703A1022E}"/>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9" name="Rechteck 8">
            <a:extLst>
              <a:ext uri="{FF2B5EF4-FFF2-40B4-BE49-F238E27FC236}">
                <a16:creationId xmlns:a16="http://schemas.microsoft.com/office/drawing/2014/main" id="{EC67C430-A189-9E31-111C-3E6FDAA357A0}"/>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0" name="Rechteck 9">
            <a:extLst>
              <a:ext uri="{FF2B5EF4-FFF2-40B4-BE49-F238E27FC236}">
                <a16:creationId xmlns:a16="http://schemas.microsoft.com/office/drawing/2014/main" id="{C3492464-CFFE-0EAB-61F0-6ADDE83AE1B8}"/>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1" name="Grafik 10">
            <a:extLst>
              <a:ext uri="{FF2B5EF4-FFF2-40B4-BE49-F238E27FC236}">
                <a16:creationId xmlns:a16="http://schemas.microsoft.com/office/drawing/2014/main" id="{FB55EFE1-EB29-FDAC-A446-A000104AA82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CDFB8897-687D-4A99-A065-DB94C15DC7F2}"/>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174240" y="15906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B48F57D2-1F06-442D-82A1-2B7B9299089A}"/>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519FB760-5782-40D4-9D51-AB249AFEB6F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4798811</xdr:colOff>
      <xdr:row>0</xdr:row>
      <xdr:rowOff>1201362</xdr:rowOff>
    </xdr:to>
    <xdr:grpSp>
      <xdr:nvGrpSpPr>
        <xdr:cNvPr id="5" name="Gruppieren 4">
          <a:extLst>
            <a:ext uri="{FF2B5EF4-FFF2-40B4-BE49-F238E27FC236}">
              <a16:creationId xmlns:a16="http://schemas.microsoft.com/office/drawing/2014/main" id="{8942E390-9F07-4D26-A225-CCA1EF1EA0CC}"/>
            </a:ext>
          </a:extLst>
        </xdr:cNvPr>
        <xdr:cNvGrpSpPr/>
      </xdr:nvGrpSpPr>
      <xdr:grpSpPr>
        <a:xfrm>
          <a:off x="0" y="0"/>
          <a:ext cx="7169478" cy="1197552"/>
          <a:chOff x="0" y="-94249"/>
          <a:chExt cx="7675832" cy="1188478"/>
        </a:xfrm>
      </xdr:grpSpPr>
      <xdr:pic>
        <xdr:nvPicPr>
          <xdr:cNvPr id="6" name="Grafik 5">
            <a:extLst>
              <a:ext uri="{FF2B5EF4-FFF2-40B4-BE49-F238E27FC236}">
                <a16:creationId xmlns:a16="http://schemas.microsoft.com/office/drawing/2014/main" id="{FC6C1E9B-97FF-6898-3C72-41C104997851}"/>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7" name="Rechteck 6">
            <a:extLst>
              <a:ext uri="{FF2B5EF4-FFF2-40B4-BE49-F238E27FC236}">
                <a16:creationId xmlns:a16="http://schemas.microsoft.com/office/drawing/2014/main" id="{59D2FABB-3AC8-68C4-DB48-94F702063B8E}"/>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8" name="Rechteck 7">
            <a:extLst>
              <a:ext uri="{FF2B5EF4-FFF2-40B4-BE49-F238E27FC236}">
                <a16:creationId xmlns:a16="http://schemas.microsoft.com/office/drawing/2014/main" id="{C3BEA646-7534-5700-5F55-3272033EBB4F}"/>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9" name="Grafik 8">
            <a:extLst>
              <a:ext uri="{FF2B5EF4-FFF2-40B4-BE49-F238E27FC236}">
                <a16:creationId xmlns:a16="http://schemas.microsoft.com/office/drawing/2014/main" id="{A5D87013-109B-E203-D534-4B193A9228D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3130691" y="80804"/>
            <a:ext cx="1728667" cy="483144"/>
          </a:xfrm>
          <a:prstGeom prst="rect">
            <a:avLst/>
          </a:prstGeom>
        </xdr:spPr>
      </xdr:pic>
    </xdr:grpSp>
    <xdr:clientData/>
  </xdr:twoCellAnchor>
  <xdr:twoCellAnchor>
    <xdr:from>
      <xdr:col>2</xdr:col>
      <xdr:colOff>0</xdr:colOff>
      <xdr:row>0</xdr:row>
      <xdr:rowOff>0</xdr:rowOff>
    </xdr:from>
    <xdr:to>
      <xdr:col>3</xdr:col>
      <xdr:colOff>30000</xdr:colOff>
      <xdr:row>0</xdr:row>
      <xdr:rowOff>3175</xdr:rowOff>
    </xdr:to>
    <xdr:pic>
      <xdr:nvPicPr>
        <xdr:cNvPr id="10" name="Grafik 9">
          <a:extLst>
            <a:ext uri="{FF2B5EF4-FFF2-40B4-BE49-F238E27FC236}">
              <a16:creationId xmlns:a16="http://schemas.microsoft.com/office/drawing/2014/main" id="{9026B2D2-7CCF-4484-819C-A9F14FA1593B}"/>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11" name="Grafik 10">
          <a:extLst>
            <a:ext uri="{FF2B5EF4-FFF2-40B4-BE49-F238E27FC236}">
              <a16:creationId xmlns:a16="http://schemas.microsoft.com/office/drawing/2014/main" id="{FA239337-526B-4D18-BFD1-BBB1EBA1C29F}"/>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4808653</xdr:colOff>
      <xdr:row>0</xdr:row>
      <xdr:rowOff>1201362</xdr:rowOff>
    </xdr:to>
    <xdr:grpSp>
      <xdr:nvGrpSpPr>
        <xdr:cNvPr id="12" name="Gruppieren 11">
          <a:extLst>
            <a:ext uri="{FF2B5EF4-FFF2-40B4-BE49-F238E27FC236}">
              <a16:creationId xmlns:a16="http://schemas.microsoft.com/office/drawing/2014/main" id="{78695239-372A-454A-9AE9-E66C5B084627}"/>
            </a:ext>
          </a:extLst>
        </xdr:cNvPr>
        <xdr:cNvGrpSpPr/>
      </xdr:nvGrpSpPr>
      <xdr:grpSpPr>
        <a:xfrm>
          <a:off x="0" y="0"/>
          <a:ext cx="7181225" cy="1197552"/>
          <a:chOff x="0" y="-94249"/>
          <a:chExt cx="7675832" cy="1188478"/>
        </a:xfrm>
      </xdr:grpSpPr>
      <xdr:pic>
        <xdr:nvPicPr>
          <xdr:cNvPr id="13" name="Grafik 12">
            <a:extLst>
              <a:ext uri="{FF2B5EF4-FFF2-40B4-BE49-F238E27FC236}">
                <a16:creationId xmlns:a16="http://schemas.microsoft.com/office/drawing/2014/main" id="{2FE193DA-D96C-4410-95DA-73F15D329B49}"/>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4" name="Rechteck 13">
            <a:extLst>
              <a:ext uri="{FF2B5EF4-FFF2-40B4-BE49-F238E27FC236}">
                <a16:creationId xmlns:a16="http://schemas.microsoft.com/office/drawing/2014/main" id="{464F72AC-A5CF-680A-27B0-A4B10D2B0A8F}"/>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5" name="Rechteck 14">
            <a:extLst>
              <a:ext uri="{FF2B5EF4-FFF2-40B4-BE49-F238E27FC236}">
                <a16:creationId xmlns:a16="http://schemas.microsoft.com/office/drawing/2014/main" id="{21F25804-A8D7-982B-6781-39C5FB9376E9}"/>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6" name="Grafik 15">
            <a:extLst>
              <a:ext uri="{FF2B5EF4-FFF2-40B4-BE49-F238E27FC236}">
                <a16:creationId xmlns:a16="http://schemas.microsoft.com/office/drawing/2014/main" id="{D468F4D8-C48D-30D1-3714-6B32F5A55F2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8BBBFDAA-EF0E-4916-AE9F-A71108102C32}"/>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209800" y="1562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21E4CD87-367C-4575-8E3A-1FEF2FB72424}"/>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73200" y="0"/>
          <a:ext cx="7666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BB13B6FF-855C-43F9-B6D9-1AD301882D32}"/>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36600" y="0"/>
          <a:ext cx="7666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4819448</xdr:colOff>
      <xdr:row>0</xdr:row>
      <xdr:rowOff>1197552</xdr:rowOff>
    </xdr:to>
    <xdr:grpSp>
      <xdr:nvGrpSpPr>
        <xdr:cNvPr id="10" name="Gruppieren 9">
          <a:extLst>
            <a:ext uri="{FF2B5EF4-FFF2-40B4-BE49-F238E27FC236}">
              <a16:creationId xmlns:a16="http://schemas.microsoft.com/office/drawing/2014/main" id="{55E0D6BC-D219-42CE-80C1-0A91F5D4D993}"/>
            </a:ext>
          </a:extLst>
        </xdr:cNvPr>
        <xdr:cNvGrpSpPr/>
      </xdr:nvGrpSpPr>
      <xdr:grpSpPr>
        <a:xfrm>
          <a:off x="0" y="0"/>
          <a:ext cx="7109258" cy="1201362"/>
          <a:chOff x="0" y="-94249"/>
          <a:chExt cx="7675832" cy="1188478"/>
        </a:xfrm>
      </xdr:grpSpPr>
      <xdr:pic>
        <xdr:nvPicPr>
          <xdr:cNvPr id="11" name="Grafik 10">
            <a:extLst>
              <a:ext uri="{FF2B5EF4-FFF2-40B4-BE49-F238E27FC236}">
                <a16:creationId xmlns:a16="http://schemas.microsoft.com/office/drawing/2014/main" id="{61EE38DC-BBE0-ABA6-1556-86C129073A5F}"/>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2" name="Rechteck 11">
            <a:extLst>
              <a:ext uri="{FF2B5EF4-FFF2-40B4-BE49-F238E27FC236}">
                <a16:creationId xmlns:a16="http://schemas.microsoft.com/office/drawing/2014/main" id="{34ED21DD-5308-011A-7CD8-F0AF3A55E88B}"/>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3" name="Rechteck 12">
            <a:extLst>
              <a:ext uri="{FF2B5EF4-FFF2-40B4-BE49-F238E27FC236}">
                <a16:creationId xmlns:a16="http://schemas.microsoft.com/office/drawing/2014/main" id="{112829D0-95F8-709A-CE8B-AC5705256687}"/>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4" name="Grafik 13">
            <a:extLst>
              <a:ext uri="{FF2B5EF4-FFF2-40B4-BE49-F238E27FC236}">
                <a16:creationId xmlns:a16="http://schemas.microsoft.com/office/drawing/2014/main" id="{BFB13AD3-BB36-CC50-8EBC-BEF69EA2484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200275" y="12668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66850" y="0"/>
          <a:ext cx="7602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33425" y="0"/>
          <a:ext cx="7602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5" name="Grafik 4">
          <a:extLst>
            <a:ext uri="{FF2B5EF4-FFF2-40B4-BE49-F238E27FC236}">
              <a16:creationId xmlns:a16="http://schemas.microsoft.com/office/drawing/2014/main" id="{5A12AC83-82B0-4FB9-86C6-6922451AE3BD}"/>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6" name="Grafik 5">
          <a:extLst>
            <a:ext uri="{FF2B5EF4-FFF2-40B4-BE49-F238E27FC236}">
              <a16:creationId xmlns:a16="http://schemas.microsoft.com/office/drawing/2014/main" id="{FE418341-1EA2-4AA8-9509-2C088D112CCE}"/>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4651360</xdr:colOff>
      <xdr:row>0</xdr:row>
      <xdr:rowOff>1197552</xdr:rowOff>
    </xdr:to>
    <xdr:grpSp>
      <xdr:nvGrpSpPr>
        <xdr:cNvPr id="12" name="Gruppieren 11">
          <a:extLst>
            <a:ext uri="{FF2B5EF4-FFF2-40B4-BE49-F238E27FC236}">
              <a16:creationId xmlns:a16="http://schemas.microsoft.com/office/drawing/2014/main" id="{2415512A-CA4E-48A9-A90D-C475BA14A98E}"/>
            </a:ext>
          </a:extLst>
        </xdr:cNvPr>
        <xdr:cNvGrpSpPr/>
      </xdr:nvGrpSpPr>
      <xdr:grpSpPr>
        <a:xfrm>
          <a:off x="0" y="0"/>
          <a:ext cx="7233693" cy="1201362"/>
          <a:chOff x="0" y="-94249"/>
          <a:chExt cx="7675832" cy="1188478"/>
        </a:xfrm>
      </xdr:grpSpPr>
      <xdr:pic>
        <xdr:nvPicPr>
          <xdr:cNvPr id="13" name="Grafik 12">
            <a:extLst>
              <a:ext uri="{FF2B5EF4-FFF2-40B4-BE49-F238E27FC236}">
                <a16:creationId xmlns:a16="http://schemas.microsoft.com/office/drawing/2014/main" id="{8E4FA2F9-D901-93F8-F547-D940B60C6014}"/>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4" name="Rechteck 13">
            <a:extLst>
              <a:ext uri="{FF2B5EF4-FFF2-40B4-BE49-F238E27FC236}">
                <a16:creationId xmlns:a16="http://schemas.microsoft.com/office/drawing/2014/main" id="{9E8F9E4D-9A0A-01F2-B58E-243D12F173F3}"/>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20" name="Rechteck 19">
            <a:extLst>
              <a:ext uri="{FF2B5EF4-FFF2-40B4-BE49-F238E27FC236}">
                <a16:creationId xmlns:a16="http://schemas.microsoft.com/office/drawing/2014/main" id="{2EA8F743-0301-5F31-3E40-970386D365D5}"/>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21" name="Grafik 20">
            <a:extLst>
              <a:ext uri="{FF2B5EF4-FFF2-40B4-BE49-F238E27FC236}">
                <a16:creationId xmlns:a16="http://schemas.microsoft.com/office/drawing/2014/main" id="{3F8A36C3-8FE2-BF0B-DDD1-E5DC584522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200275" y="12668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66850" y="0"/>
          <a:ext cx="7602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33425" y="0"/>
          <a:ext cx="7602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42333</xdr:colOff>
      <xdr:row>0</xdr:row>
      <xdr:rowOff>8462</xdr:rowOff>
    </xdr:from>
    <xdr:to>
      <xdr:col>3</xdr:col>
      <xdr:colOff>4849081</xdr:colOff>
      <xdr:row>0</xdr:row>
      <xdr:rowOff>1206014</xdr:rowOff>
    </xdr:to>
    <xdr:grpSp>
      <xdr:nvGrpSpPr>
        <xdr:cNvPr id="5" name="Gruppieren 4">
          <a:extLst>
            <a:ext uri="{FF2B5EF4-FFF2-40B4-BE49-F238E27FC236}">
              <a16:creationId xmlns:a16="http://schemas.microsoft.com/office/drawing/2014/main" id="{28AE5DB3-4DB1-484A-A320-301E5825A70C}"/>
            </a:ext>
          </a:extLst>
        </xdr:cNvPr>
        <xdr:cNvGrpSpPr/>
      </xdr:nvGrpSpPr>
      <xdr:grpSpPr>
        <a:xfrm>
          <a:off x="44238" y="10367"/>
          <a:ext cx="7251498" cy="1191837"/>
          <a:chOff x="0" y="-94249"/>
          <a:chExt cx="7675832" cy="1188478"/>
        </a:xfrm>
      </xdr:grpSpPr>
      <xdr:pic>
        <xdr:nvPicPr>
          <xdr:cNvPr id="6" name="Grafik 5">
            <a:extLst>
              <a:ext uri="{FF2B5EF4-FFF2-40B4-BE49-F238E27FC236}">
                <a16:creationId xmlns:a16="http://schemas.microsoft.com/office/drawing/2014/main" id="{C867AC56-43B1-39E2-6F66-E8D7E986C1EC}"/>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7" name="Rechteck 6">
            <a:extLst>
              <a:ext uri="{FF2B5EF4-FFF2-40B4-BE49-F238E27FC236}">
                <a16:creationId xmlns:a16="http://schemas.microsoft.com/office/drawing/2014/main" id="{1C44F975-BC76-927D-2BFD-D0CF309C5A68}"/>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8" name="Rechteck 7">
            <a:extLst>
              <a:ext uri="{FF2B5EF4-FFF2-40B4-BE49-F238E27FC236}">
                <a16:creationId xmlns:a16="http://schemas.microsoft.com/office/drawing/2014/main" id="{57FDCA90-6AD1-D863-1354-471143F0816D}"/>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9" name="Grafik 8">
            <a:extLst>
              <a:ext uri="{FF2B5EF4-FFF2-40B4-BE49-F238E27FC236}">
                <a16:creationId xmlns:a16="http://schemas.microsoft.com/office/drawing/2014/main" id="{5EBF32EF-B235-C8B1-CC35-3BF47B9492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IT-Strategie-GAP/Freigegebene%20Dokumente/General/P-57_IT-Strategie-GAP/03_Projektarbeit/07%20F&#246;rderantr&#228;ge/Archiv/GAP%20Final%203.0/H01-Garmisch-Partenkirchen/F2/P57-LAN%20-%20Netzwerksicherheit.xlsx?56E34979" TargetMode="External"/><Relationship Id="rId1" Type="http://schemas.openxmlformats.org/officeDocument/2006/relationships/externalLinkPath" Target="file:///\\56E34979\P57-LAN%20-%20Netzwerksicherhei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104\2Wirtschaftsplanung\Wirtschaftspl&#228;ne\Wp2004\Budgetabfrage\Formblatt%20Erl.1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DOKUME~1/ADMINI~1/LOKALE~1/Temp/Projektbericht%20final_20041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Projektdaten"/>
      <sheetName val="1 Kosten"/>
      <sheetName val="1.1 Projekt-Change"/>
      <sheetName val="1.2 Entwicklung-Einführung"/>
      <sheetName val="1.3 Betrieb"/>
      <sheetName val="2 Nutzen"/>
      <sheetName val="3 Risiko"/>
      <sheetName val="4 Anforderungen"/>
      <sheetName val="QM-KTQ"/>
      <sheetName val="5 Zusammenfassung"/>
      <sheetName val="Personalkostenschlüssel"/>
      <sheetName val="Verteilungsschlüssel"/>
      <sheetName val="Ausfüllhilfe"/>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kozuordn"/>
      <sheetName val="Sachktozuordn, SachKosten"/>
      <sheetName val="Hinweis"/>
      <sheetName val="i"/>
      <sheetName val="Ref2"/>
      <sheetName val="Ref1"/>
      <sheetName val="Parameter"/>
      <sheetName val="Zusammenstellung"/>
      <sheetName val="022000"/>
      <sheetName val="051000"/>
      <sheetName val="052000"/>
      <sheetName val="081000"/>
      <sheetName val="082100"/>
      <sheetName val="088000"/>
      <sheetName val="088200"/>
      <sheetName val="088800"/>
      <sheetName val="089000"/>
      <sheetName val="602100"/>
      <sheetName val="602200"/>
      <sheetName val="603200"/>
      <sheetName val="603400"/>
      <sheetName val="603410"/>
      <sheetName val="603420"/>
      <sheetName val="603430"/>
      <sheetName val="603440"/>
      <sheetName val="606000"/>
      <sheetName val="611400"/>
      <sheetName val="614100"/>
      <sheetName val="614200"/>
      <sheetName val="614300"/>
      <sheetName val="621100"/>
      <sheetName val="625200"/>
      <sheetName val="625600"/>
      <sheetName val="625700"/>
      <sheetName val="625800"/>
      <sheetName val="626110"/>
      <sheetName val="626120"/>
      <sheetName val="626140"/>
      <sheetName val="626190"/>
      <sheetName val="671100"/>
      <sheetName val="671200"/>
      <sheetName val="671210"/>
      <sheetName val="673100"/>
      <sheetName val="673200"/>
      <sheetName val="673210"/>
      <sheetName val="673220"/>
      <sheetName val="673230"/>
      <sheetName val="673240"/>
      <sheetName val="673300"/>
      <sheetName val="673900"/>
      <sheetName val="681000"/>
      <sheetName val="681010"/>
      <sheetName val="681030"/>
      <sheetName val="681110"/>
      <sheetName val="681120"/>
      <sheetName val="681130"/>
      <sheetName val="681200"/>
      <sheetName val="681210"/>
      <sheetName val="681310"/>
      <sheetName val="681410"/>
      <sheetName val="681500"/>
      <sheetName val="681700"/>
      <sheetName val="682000"/>
      <sheetName val="682100"/>
      <sheetName val="682200"/>
      <sheetName val="682400"/>
      <sheetName val="683900"/>
      <sheetName val="701120"/>
      <sheetName val="701130"/>
      <sheetName val="701140"/>
      <sheetName val="701200"/>
      <sheetName val="701310"/>
      <sheetName val="701610"/>
      <sheetName val="701810"/>
      <sheetName val="702110"/>
      <sheetName val="702120"/>
      <sheetName val="702200"/>
      <sheetName val="702300"/>
      <sheetName val="702400"/>
      <sheetName val="721100"/>
      <sheetName val="721210"/>
      <sheetName val="721220"/>
      <sheetName val="721230"/>
      <sheetName val="721260"/>
      <sheetName val="721270"/>
      <sheetName val="721271"/>
      <sheetName val="721280"/>
      <sheetName val="721290"/>
      <sheetName val="721300"/>
      <sheetName val="721620"/>
      <sheetName val="721700"/>
      <sheetName val="721900"/>
      <sheetName val="721950"/>
      <sheetName val="721999"/>
      <sheetName val="722100"/>
      <sheetName val="722110"/>
      <sheetName val="722200"/>
      <sheetName val="722300"/>
      <sheetName val="722700"/>
      <sheetName val="722750"/>
      <sheetName val="722850"/>
      <sheetName val="722900"/>
      <sheetName val="723000"/>
      <sheetName val="723050"/>
      <sheetName val="723100"/>
      <sheetName val="723200"/>
      <sheetName val="723300"/>
      <sheetName val="728900"/>
      <sheetName val="767300"/>
      <sheetName val="767400"/>
      <sheetName val="762200"/>
      <sheetName val="767700"/>
      <sheetName val="767800"/>
      <sheetName val="767900"/>
      <sheetName val="Tabelle1"/>
      <sheetName val="Tabelle2"/>
      <sheetName val="Tabelle3"/>
      <sheetName val="Zusammenstellung 212"/>
      <sheetName val="112-1a ZustKSt BL 21"/>
      <sheetName val="PersKosten PBeaKK Anm 2008"/>
      <sheetName val="631400"/>
      <sheetName val="631410"/>
      <sheetName val="631500"/>
      <sheetName val="632100"/>
      <sheetName val="632300"/>
      <sheetName val="632400"/>
      <sheetName val="633350"/>
      <sheetName val="633450"/>
      <sheetName val="633650"/>
      <sheetName val="634200"/>
      <sheetName val="634300"/>
      <sheetName val="634400"/>
      <sheetName val="636400"/>
      <sheetName val="636500"/>
      <sheetName val="637700"/>
      <sheetName val="637900"/>
      <sheetName val="638300"/>
      <sheetName val="638400"/>
      <sheetName val="639200"/>
      <sheetName val="639300"/>
      <sheetName val="639400"/>
      <sheetName val="639500"/>
      <sheetName val="641100"/>
      <sheetName val="641200"/>
      <sheetName val="642100"/>
      <sheetName val="642300"/>
      <sheetName val="643300"/>
      <sheetName val="643400"/>
      <sheetName val="643500"/>
      <sheetName val="643600"/>
      <sheetName val="643800"/>
      <sheetName val="644200"/>
      <sheetName val="644400"/>
      <sheetName val="644500"/>
      <sheetName val="651110"/>
      <sheetName val="651130"/>
      <sheetName val="651140"/>
      <sheetName val="651150"/>
      <sheetName val="651160"/>
      <sheetName val="651200"/>
      <sheetName val="651300"/>
      <sheetName val="651400"/>
      <sheetName val="651500"/>
      <sheetName val="651900"/>
      <sheetName val="652100"/>
      <sheetName val="652300"/>
      <sheetName val="653200"/>
      <sheetName val="653900"/>
      <sheetName val="654000"/>
      <sheetName val="655150"/>
      <sheetName val="655310"/>
      <sheetName val="655320"/>
      <sheetName val="655400"/>
      <sheetName val="112-1a ZustKSt PersKos PBeaKK"/>
      <sheetName val="DivVerr 212"/>
      <sheetName val="IST 2007 Gebäude Vorgabe"/>
      <sheetName val="ZustKSt DivVer 2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richt"/>
      <sheetName val="Ausfüllhilfe"/>
    </sheetNames>
    <sheetDataSet>
      <sheetData sheetId="0" refreshError="1"/>
      <sheetData sheetId="1"/>
    </sheetDataSet>
  </externalBook>
</externalLink>
</file>

<file path=xl/persons/person.xml><?xml version="1.0" encoding="utf-8"?>
<personList xmlns="http://schemas.microsoft.com/office/spreadsheetml/2018/threadedcomments" xmlns:x="http://schemas.openxmlformats.org/spreadsheetml/2006/main">
  <person displayName="Jakob Herbel" id="{265DBCCB-B3D3-481F-BBBB-2FD45DDFD5F1}" userId="S::jakob.herbel@moysies.de::9b27566e-784d-419b-94d8-690a21d7c93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_wertebereich_typ" displayName="tab_wertebereich_typ" ref="F5:F27" totalsRowShown="0" headerRowDxfId="157" dataDxfId="156">
  <autoFilter ref="F5:F27" xr:uid="{00000000-0009-0000-0100-000001000000}"/>
  <tableColumns count="1">
    <tableColumn id="1" xr3:uid="{00000000-0010-0000-0300-000001000000}" name="Wertebereich" dataDxfId="15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_wertebereich_inhalt" displayName="tab_wertebereich_inhalt" ref="G5:BH11" totalsRowShown="0" headerRowDxfId="154" dataDxfId="153" dataCellStyle="Standard 2">
  <autoFilter ref="G5:BH11" xr:uid="{00000000-0009-0000-0100-000002000000}"/>
  <tableColumns count="54">
    <tableColumn id="17" xr3:uid="{00000000-0010-0000-0400-000011000000}" name="ja/nein" dataDxfId="152"/>
    <tableColumn id="2" xr3:uid="{00000000-0010-0000-0400-000002000000}" name="KON-2" dataDxfId="151" dataCellStyle="Standard 2"/>
    <tableColumn id="3" xr3:uid="{00000000-0010-0000-0400-000003000000}" name="KON-3" dataDxfId="150" dataCellStyle="Standard 2"/>
    <tableColumn id="4" xr3:uid="{00000000-0010-0000-0400-000004000000}" name="KON-5" dataDxfId="149" dataCellStyle="Standard 2"/>
    <tableColumn id="5" xr3:uid="{00000000-0010-0000-0400-000005000000}" name="KON-8" dataDxfId="148" dataCellStyle="Standard 2"/>
    <tableColumn id="6" xr3:uid="{00000000-0010-0000-0400-000006000000}" name="F.1.2.3" dataDxfId="147" dataCellStyle="Standard 2"/>
    <tableColumn id="7" xr3:uid="{00000000-0010-0000-0400-000007000000}" name="F.1.3.1" dataDxfId="146" dataCellStyle="Standard 2"/>
    <tableColumn id="8" xr3:uid="{00000000-0010-0000-0400-000008000000}" name="F.1.3.2" dataDxfId="145" dataCellStyle="Standard 2"/>
    <tableColumn id="9" xr3:uid="{00000000-0010-0000-0400-000009000000}" name="F.1.4" dataDxfId="144" dataCellStyle="Standard 2"/>
    <tableColumn id="10" xr3:uid="{00000000-0010-0000-0400-00000A000000}" name="F.1.5" dataDxfId="143" dataCellStyle="Standard 2"/>
    <tableColumn id="11" xr3:uid="{00000000-0010-0000-0400-00000B000000}" name="F.1.6" dataDxfId="142" dataCellStyle="Standard 2"/>
    <tableColumn id="12" xr3:uid="{00000000-0010-0000-0400-00000C000000}" name="F.1.7" dataDxfId="141" dataCellStyle="Standard 2"/>
    <tableColumn id="13" xr3:uid="{00000000-0010-0000-0400-00000D000000}" name="F.1.8" dataDxfId="140" dataCellStyle="Standard 2"/>
    <tableColumn id="14" xr3:uid="{00000000-0010-0000-0400-00000E000000}" name="F.1.9" dataDxfId="139" dataCellStyle="Standard 2"/>
    <tableColumn id="15" xr3:uid="{00000000-0010-0000-0400-00000F000000}" name="F.1.10" dataDxfId="138" dataCellStyle="Standard 2"/>
    <tableColumn id="1" xr3:uid="{00000000-0010-0000-0400-000001000000}" name="F.1.11" dataDxfId="137" dataCellStyle="Standard 2"/>
    <tableColumn id="16" xr3:uid="{00000000-0010-0000-0400-000010000000}" name="KON-17" dataDxfId="136" dataCellStyle="Standard 2"/>
    <tableColumn id="41" xr3:uid="{00000000-0010-0000-0400-000029000000}" name="PRÄ-3" dataDxfId="135" dataCellStyle="Standard 2"/>
    <tableColumn id="40" xr3:uid="{00000000-0010-0000-0400-000028000000}" name="I.2.1" dataDxfId="134" dataCellStyle="Standard 2"/>
    <tableColumn id="39" xr3:uid="{00000000-0010-0000-0400-000027000000}" name="I.2.2" dataDxfId="133" dataCellStyle="Standard 2"/>
    <tableColumn id="38" xr3:uid="{00000000-0010-0000-0400-000026000000}" name="I.2.3" dataDxfId="132" dataCellStyle="Standard 2"/>
    <tableColumn id="37" xr3:uid="{00000000-0010-0000-0400-000025000000}" name="I.3.1" dataDxfId="131" dataCellStyle="Standard 2"/>
    <tableColumn id="36" xr3:uid="{00000000-0010-0000-0400-000024000000}" name="I.3.2" dataDxfId="130" dataCellStyle="Standard 2"/>
    <tableColumn id="35" xr3:uid="{00000000-0010-0000-0400-000023000000}" name="I.3.3" dataDxfId="129" dataCellStyle="Standard 2"/>
    <tableColumn id="34" xr3:uid="{00000000-0010-0000-0400-000022000000}" name="I.3.4" dataDxfId="128" dataCellStyle="Standard 2"/>
    <tableColumn id="33" xr3:uid="{00000000-0010-0000-0400-000021000000}" name="I.3.5" dataDxfId="127" dataCellStyle="Standard 2"/>
    <tableColumn id="32" xr3:uid="{00000000-0010-0000-0400-000020000000}" name="I.3.6" dataDxfId="126" dataCellStyle="Standard 2"/>
    <tableColumn id="31" xr3:uid="{00000000-0010-0000-0400-00001F000000}" name="I.3.7" dataDxfId="125" dataCellStyle="Standard 2"/>
    <tableColumn id="30" xr3:uid="{00000000-0010-0000-0400-00001E000000}" name="I.3.8" dataDxfId="124" dataCellStyle="Standard 2"/>
    <tableColumn id="29" xr3:uid="{00000000-0010-0000-0400-00001D000000}" name="I.3.9" dataDxfId="123" dataCellStyle="Standard 2"/>
    <tableColumn id="28" xr3:uid="{00000000-0010-0000-0400-00001C000000}" name="I.4.1" dataDxfId="122" dataCellStyle="Standard 2"/>
    <tableColumn id="27" xr3:uid="{00000000-0010-0000-0400-00001B000000}" name="I.4.2" dataDxfId="121" dataCellStyle="Standard 2"/>
    <tableColumn id="26" xr3:uid="{00000000-0010-0000-0400-00001A000000}" name="I.5.1" dataDxfId="120" dataCellStyle="Standard 2"/>
    <tableColumn id="25" xr3:uid="{00000000-0010-0000-0400-000019000000}" name="I.5.2" dataDxfId="119" dataCellStyle="Standard 2"/>
    <tableColumn id="24" xr3:uid="{00000000-0010-0000-0400-000018000000}" name="I.5.3" dataDxfId="118" dataCellStyle="Standard 2"/>
    <tableColumn id="18" xr3:uid="{00000000-0010-0000-0400-000012000000}" name="A.1.1" dataDxfId="117" dataCellStyle="Standard 2"/>
    <tableColumn id="19" xr3:uid="{00000000-0010-0000-0400-000013000000}" name="I.1.32" dataDxfId="116" dataCellStyle="Standard 2"/>
    <tableColumn id="20" xr3:uid="{00000000-0010-0000-0400-000014000000}" name="I.1.43" dataDxfId="115" dataCellStyle="Standard 2"/>
    <tableColumn id="21" xr3:uid="{00000000-0010-0000-0400-000015000000}" name="I.1.52" dataDxfId="114" dataCellStyle="Standard 2"/>
    <tableColumn id="22" xr3:uid="{00000000-0010-0000-0400-000016000000}" name="I.1.63" dataDxfId="113" dataCellStyle="Standard 2"/>
    <tableColumn id="23" xr3:uid="{00000000-0010-0000-0400-000017000000}" name="I.1.22" dataDxfId="112" dataCellStyle="Standard 2"/>
    <tableColumn id="47" xr3:uid="{00000000-0010-0000-0400-00002F000000}" name="1.1.3" dataDxfId="111" dataCellStyle="Standard 2"/>
    <tableColumn id="42" xr3:uid="{00000000-0010-0000-0400-00002A000000}" name="3.1.1" dataDxfId="110" dataCellStyle="Standard 2"/>
    <tableColumn id="43" xr3:uid="{00000000-0010-0000-0400-00002B000000}" name="3.1.2" dataDxfId="109" dataCellStyle="Standard 2"/>
    <tableColumn id="46" xr3:uid="{00000000-0010-0000-0400-00002E000000}" name="3.1.3" dataDxfId="108" dataCellStyle="Standard 2"/>
    <tableColumn id="45" xr3:uid="{00000000-0010-0000-0400-00002D000000}" name="3.1.4" dataDxfId="107" dataCellStyle="Standard 2"/>
    <tableColumn id="48" xr3:uid="{00000000-0010-0000-0400-000030000000}" name="3.1.5" dataDxfId="106" dataCellStyle="Standard 2"/>
    <tableColumn id="49" xr3:uid="{00000000-0010-0000-0400-000031000000}" name="3.1.6" dataDxfId="105" dataCellStyle="Standard 2"/>
    <tableColumn id="50" xr3:uid="{00000000-0010-0000-0400-000032000000}" name="3.1.7" dataDxfId="104" dataCellStyle="Standard 2"/>
    <tableColumn id="51" xr3:uid="{00000000-0010-0000-0400-000033000000}" name="3.1.8" dataDxfId="103" dataCellStyle="Standard 2"/>
    <tableColumn id="52" xr3:uid="{00000000-0010-0000-0400-000034000000}" name="3.1.9" dataDxfId="102" dataCellStyle="Standard 2"/>
    <tableColumn id="53" xr3:uid="{00000000-0010-0000-0400-000035000000}" name="3.1.10" dataDxfId="101" dataCellStyle="Standard 2"/>
    <tableColumn id="54" xr3:uid="{00000000-0010-0000-0400-000036000000}" name="3.1.11" dataDxfId="100" dataCellStyle="Standard 2"/>
    <tableColumn id="55" xr3:uid="{00000000-0010-0000-0400-000037000000}" name="3.1.12" dataDxfId="99" dataCellStyle="Standard 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_auszufuellen" displayName="tab_auszufuellen" ref="E5:E7" totalsRowShown="0" headerRowDxfId="98" dataDxfId="97">
  <autoFilter ref="E5:E7" xr:uid="{00000000-0009-0000-0100-000003000000}"/>
  <tableColumns count="1">
    <tableColumn id="1" xr3:uid="{00000000-0010-0000-0500-000001000000}" name="auszufüllen von …" dataDxfId="9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elle4" displayName="Tabelle4" ref="B5:B18" totalsRowShown="0" headerRowDxfId="95" dataDxfId="94">
  <autoFilter ref="B5:B18" xr:uid="{00000000-0009-0000-0100-000004000000}"/>
  <tableColumns count="1">
    <tableColumn id="1" xr3:uid="{00000000-0010-0000-0600-000001000000}" name="Verfahrensart" dataDxfId="9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elle8" displayName="Tabelle8" ref="C5:C8" totalsRowShown="0" headerRowDxfId="92" dataDxfId="91">
  <autoFilter ref="C5:C8" xr:uid="{00000000-0009-0000-0100-000008000000}"/>
  <tableColumns count="1">
    <tableColumn id="1" xr3:uid="{00000000-0010-0000-0700-000001000000}" name="Eignungskriterien" dataDxfId="9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elle9" displayName="Tabelle9" ref="D5:D8" totalsRowShown="0" headerRowDxfId="89" dataDxfId="88">
  <autoFilter ref="D5:D8" xr:uid="{00000000-0009-0000-0100-000009000000}"/>
  <tableColumns count="1">
    <tableColumn id="1" xr3:uid="{00000000-0010-0000-0800-000001000000}" name="Qualitätskriterien" dataDxfId="87"/>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9" dT="2022-01-25T14:22:58.10" personId="{265DBCCB-B3D3-481F-BBBB-2FD45DDFD5F1}" id="{8C9814C2-3587-44B3-8A89-20331307C609}">
    <text>Gezählt werden alle offenen, durch Bierter/in zu beantwortenden A-Kriterien.</text>
  </threadedComment>
  <threadedComment ref="Q9" dT="2022-01-25T14:23:21.69" personId="{265DBCCB-B3D3-481F-BBBB-2FD45DDFD5F1}" id="{A79822B9-11A5-4CA5-95BE-014A88149C18}">
    <text>Gezählt werden alle offenen, durch Auftragsgeber/in zu beantwortenden A-Kriterien.</text>
  </threadedComment>
  <threadedComment ref="R9" dT="2022-01-25T14:38:46.91" personId="{265DBCCB-B3D3-481F-BBBB-2FD45DDFD5F1}" id="{131662F1-AF1D-4444-8FE6-8B043832B0CE}">
    <text>Gezählt werden alle offenen, durch Bierter/in zu beantwortenden B-Kriterien.</text>
  </threadedComment>
  <threadedComment ref="S9" dT="2022-01-25T14:40:25.71" personId="{265DBCCB-B3D3-481F-BBBB-2FD45DDFD5F1}" id="{C5E30B31-045A-490F-A6B2-03AD4AD891EE}">
    <text>Gezählt werden alle offenen, durch Auftragsgeber/in zu beantwortenden B-Kriterien.</text>
  </threadedComment>
  <threadedComment ref="T9" dT="2022-01-25T14:23:51.97" personId="{265DBCCB-B3D3-481F-BBBB-2FD45DDFD5F1}" id="{F1C347AE-7AEA-4D28-9C03-75A52FC337DD}">
    <text>Gezählt werden alle mit "nok" bewerteten Fragen.</text>
  </threadedComment>
</ThreadedComments>
</file>

<file path=xl/threadedComments/threadedComment2.xml><?xml version="1.0" encoding="utf-8"?>
<ThreadedComments xmlns="http://schemas.microsoft.com/office/spreadsheetml/2018/threadedcomments" xmlns:x="http://schemas.openxmlformats.org/spreadsheetml/2006/main">
  <threadedComment ref="P9" dT="2022-01-25T14:22:58.10" personId="{265DBCCB-B3D3-481F-BBBB-2FD45DDFD5F1}" id="{A97BF0B2-A296-4EB6-960B-63373C6DD86F}">
    <text>Gezählt werden alle offenen, durch Bierter/in zu beantwortenden A-Kriterien.</text>
  </threadedComment>
  <threadedComment ref="Q9" dT="2022-01-25T14:23:21.69" personId="{265DBCCB-B3D3-481F-BBBB-2FD45DDFD5F1}" id="{FE4B403A-F778-4933-A3A8-74E15035B967}">
    <text>Gezählt werden alle offenen, durch Auftragsgeber/in zu beantwortenden A-Kriterien.</text>
  </threadedComment>
  <threadedComment ref="R9" dT="2022-01-25T14:38:46.91" personId="{265DBCCB-B3D3-481F-BBBB-2FD45DDFD5F1}" id="{9D21EB47-F79A-4E83-9F56-A4F94692D9A7}">
    <text>Gezählt werden alle offenen, durch Bierter/in zu beantwortenden B-Kriterien.</text>
  </threadedComment>
  <threadedComment ref="S9" dT="2022-01-25T14:40:25.71" personId="{265DBCCB-B3D3-481F-BBBB-2FD45DDFD5F1}" id="{A60A3560-ACD0-464C-BEB1-C70AF203D197}">
    <text>Gezählt werden alle offenen, durch Auftragsgeber/in zu beantwortenden B-Kriterien.</text>
  </threadedComment>
  <threadedComment ref="T9" dT="2022-01-25T14:23:51.97" personId="{265DBCCB-B3D3-481F-BBBB-2FD45DDFD5F1}" id="{815F2491-47F3-4133-A292-EDF06D701E0D}">
    <text>Gezählt werden alle mit "nok" bewerteten Fragen.</text>
  </threadedComment>
</ThreadedComments>
</file>

<file path=xl/threadedComments/threadedComment3.xml><?xml version="1.0" encoding="utf-8"?>
<ThreadedComments xmlns="http://schemas.microsoft.com/office/spreadsheetml/2018/threadedcomments" xmlns:x="http://schemas.openxmlformats.org/spreadsheetml/2006/main">
  <threadedComment ref="P9" dT="2022-01-25T14:22:58.10" personId="{265DBCCB-B3D3-481F-BBBB-2FD45DDFD5F1}" id="{253330B3-14FB-4FA9-BF8C-038889282E07}">
    <text>Gezählt werden alle offenen, durch Bierter/in zu beantwortenden A-Kriterien.</text>
  </threadedComment>
  <threadedComment ref="Q9" dT="2022-01-25T14:23:21.69" personId="{265DBCCB-B3D3-481F-BBBB-2FD45DDFD5F1}" id="{B736FDE6-ED20-466A-BB3D-F8D36923FAA4}">
    <text>Gezählt werden alle offenen, durch Auftragsgeber/in zu beantwortenden A-Kriterien.</text>
  </threadedComment>
  <threadedComment ref="R9" dT="2022-01-25T14:38:46.91" personId="{265DBCCB-B3D3-481F-BBBB-2FD45DDFD5F1}" id="{871A5DD5-C245-4A11-9059-BC144F6BBB4E}">
    <text>Gezählt werden alle offenen, durch Bierter/in zu beantwortenden B-Kriterien.</text>
  </threadedComment>
  <threadedComment ref="S9" dT="2022-01-25T14:40:25.71" personId="{265DBCCB-B3D3-481F-BBBB-2FD45DDFD5F1}" id="{BED3D12A-6077-4915-AD97-301EE77B82F9}">
    <text>Gezählt werden alle offenen, durch Auftragsgeber/in zu beantwortenden B-Kriterien.</text>
  </threadedComment>
  <threadedComment ref="T9" dT="2022-01-25T14:23:51.97" personId="{265DBCCB-B3D3-481F-BBBB-2FD45DDFD5F1}" id="{B8D23E10-7567-4EF2-BCC1-A62C5950F825}">
    <text>Gezählt werden alle mit "nok" bewerteten Fragen.</text>
  </threadedComment>
</ThreadedComments>
</file>

<file path=xl/threadedComments/threadedComment4.xml><?xml version="1.0" encoding="utf-8"?>
<ThreadedComments xmlns="http://schemas.microsoft.com/office/spreadsheetml/2018/threadedcomments" xmlns:x="http://schemas.openxmlformats.org/spreadsheetml/2006/main">
  <threadedComment ref="P9" dT="2022-01-25T14:22:58.10" personId="{265DBCCB-B3D3-481F-BBBB-2FD45DDFD5F1}" id="{EF770D54-5E1B-4E54-91AA-5CF110EAD7C6}">
    <text>Gezählt werden alle offenen, durch Bierter/in zu beantwortenden A-Kriterien.</text>
  </threadedComment>
  <threadedComment ref="Q9" dT="2022-01-25T14:23:21.69" personId="{265DBCCB-B3D3-481F-BBBB-2FD45DDFD5F1}" id="{D2BB9EAC-566D-454B-89B0-DE91A5E66B34}">
    <text>Gezählt werden alle offenen, durch Auftragsgeber/in zu beantwortenden A-Kriterien.</text>
  </threadedComment>
  <threadedComment ref="R9" dT="2022-01-25T14:38:46.91" personId="{265DBCCB-B3D3-481F-BBBB-2FD45DDFD5F1}" id="{E11B0137-3F8C-4702-8333-464B75913899}">
    <text>Gezählt werden alle offenen, durch Bierter/in zu beantwortenden B-Kriterien.</text>
  </threadedComment>
  <threadedComment ref="S9" dT="2022-01-25T14:40:25.71" personId="{265DBCCB-B3D3-481F-BBBB-2FD45DDFD5F1}" id="{153B05FA-3864-4AB9-9043-C0EDE15D82BE}">
    <text>Gezählt werden alle offenen, durch Auftragsgeber/in zu beantwortenden B-Kriterien.</text>
  </threadedComment>
  <threadedComment ref="T9" dT="2022-01-25T14:23:51.97" personId="{265DBCCB-B3D3-481F-BBBB-2FD45DDFD5F1}" id="{A431BDBD-063A-40CD-BE3D-B6F81031CB79}">
    <text>Gezählt werden alle mit "nok" bewerteten Fragen.</text>
  </threadedComment>
</ThreadedComments>
</file>

<file path=xl/threadedComments/threadedComment5.xml><?xml version="1.0" encoding="utf-8"?>
<ThreadedComments xmlns="http://schemas.microsoft.com/office/spreadsheetml/2018/threadedcomments" xmlns:x="http://schemas.openxmlformats.org/spreadsheetml/2006/main">
  <threadedComment ref="P9" dT="2022-01-25T14:22:58.10" personId="{265DBCCB-B3D3-481F-BBBB-2FD45DDFD5F1}" id="{FAE92ECC-04DD-4B12-BD34-A1CC63A0D06D}">
    <text>Gezählt werden alle offenen, durch Bierter/in zu beantwortenden A-Kriterien.</text>
  </threadedComment>
  <threadedComment ref="Q9" dT="2022-01-25T14:23:21.69" personId="{265DBCCB-B3D3-481F-BBBB-2FD45DDFD5F1}" id="{E92CCB6D-2ECC-46A5-8CF3-AA71AE6B6735}">
    <text>Gezählt werden alle offenen, durch Auftragsgeber/in zu beantwortenden A-Kriterien.</text>
  </threadedComment>
  <threadedComment ref="R9" dT="2022-01-25T14:38:46.91" personId="{265DBCCB-B3D3-481F-BBBB-2FD45DDFD5F1}" id="{32E124C3-D5BA-498D-BF39-30AE1F1731EE}">
    <text>Gezählt werden alle offenen, durch Bierter/in zu beantwortenden B-Kriterien.</text>
  </threadedComment>
  <threadedComment ref="S9" dT="2022-01-25T14:40:25.71" personId="{265DBCCB-B3D3-481F-BBBB-2FD45DDFD5F1}" id="{D51BC3BB-CA88-419E-8AD6-BC69DA306B14}">
    <text>Gezählt werden alle offenen, durch Auftragsgeber/in zu beantwortenden B-Kriterien.</text>
  </threadedComment>
  <threadedComment ref="T9" dT="2022-01-25T14:23:51.97" personId="{265DBCCB-B3D3-481F-BBBB-2FD45DDFD5F1}" id="{8211AFDB-CF57-4F6D-8150-79EFDD072E07}">
    <text>Gezählt werden alle mit "nok" bewerteten Fragen.</text>
  </threadedComment>
</ThreadedComments>
</file>

<file path=xl/threadedComments/threadedComment6.xml><?xml version="1.0" encoding="utf-8"?>
<ThreadedComments xmlns="http://schemas.microsoft.com/office/spreadsheetml/2018/threadedcomments" xmlns:x="http://schemas.openxmlformats.org/spreadsheetml/2006/main">
  <threadedComment ref="P46" dT="2022-01-25T14:22:58.10" personId="{265DBCCB-B3D3-481F-BBBB-2FD45DDFD5F1}" id="{E5A904DA-56BB-42FE-9877-11D4D1E8152A}">
    <text>Gezählt werden alle offenen, durch Bierter/in zu beantwortenden A-Kriterien.</text>
  </threadedComment>
  <threadedComment ref="Q46" dT="2022-01-25T14:23:21.69" personId="{265DBCCB-B3D3-481F-BBBB-2FD45DDFD5F1}" id="{E06641E7-E2E7-4168-8271-17DC77924D55}">
    <text>Gezählt werden alle offenen, durch Auftragsgeber/in zu beantwortenden A-Kriterien.</text>
  </threadedComment>
  <threadedComment ref="R46" dT="2022-01-25T14:38:46.91" personId="{265DBCCB-B3D3-481F-BBBB-2FD45DDFD5F1}" id="{96EC3D6D-9C60-48CC-BEEA-56079CCE77FC}">
    <text>Gezählt werden alle offenen, durch Bierter/in zu beantwortenden B-Kriterien.</text>
  </threadedComment>
  <threadedComment ref="S46" dT="2022-01-25T14:40:25.71" personId="{265DBCCB-B3D3-481F-BBBB-2FD45DDFD5F1}" id="{F68FEC5E-F200-47E3-95C8-E218DDF6C2DC}">
    <text>Gezählt werden alle offenen, durch Auftragsgeber/in zu beantwortenden B-Kriterien.</text>
  </threadedComment>
  <threadedComment ref="T46" dT="2022-01-25T14:23:51.97" personId="{265DBCCB-B3D3-481F-BBBB-2FD45DDFD5F1}" id="{B477502B-E280-4901-AEDF-D4DDB2AFCD56}">
    <text>Gezählt werden alle mit "nok" bewerteten Fragen.</text>
  </threadedComment>
</ThreadedComments>
</file>

<file path=xl/threadedComments/threadedComment7.xml><?xml version="1.0" encoding="utf-8"?>
<ThreadedComments xmlns="http://schemas.microsoft.com/office/spreadsheetml/2018/threadedcomments" xmlns:x="http://schemas.openxmlformats.org/spreadsheetml/2006/main">
  <threadedComment ref="P38" dT="2022-01-25T14:22:58.10" personId="{265DBCCB-B3D3-481F-BBBB-2FD45DDFD5F1}" id="{59B45DE8-670A-4DB9-8283-DCEF4F11A839}">
    <text>Gezählt werden alle offenen, durch Bierter/in zu beantwortenden A-Kriterien.</text>
  </threadedComment>
  <threadedComment ref="Q38" dT="2022-01-25T14:23:21.69" personId="{265DBCCB-B3D3-481F-BBBB-2FD45DDFD5F1}" id="{83B3B91B-6AF8-49D6-867E-62CC7F24FC2D}">
    <text>Gezählt werden alle offenen, durch Auftragsgeber/in zu beantwortenden A-Kriterien.</text>
  </threadedComment>
  <threadedComment ref="R38" dT="2022-01-25T14:38:46.91" personId="{265DBCCB-B3D3-481F-BBBB-2FD45DDFD5F1}" id="{A8B94493-7B39-4DD3-98FF-D0B9886896FD}">
    <text>Gezählt werden alle offenen, durch Bierter/in zu beantwortenden B-Kriterien.</text>
  </threadedComment>
  <threadedComment ref="S38" dT="2022-01-25T14:40:25.71" personId="{265DBCCB-B3D3-481F-BBBB-2FD45DDFD5F1}" id="{4F35B657-8D80-4DE2-856D-A9E77F5B001D}">
    <text>Gezählt werden alle offenen, durch Auftragsgeber/in zu beantwortenden B-Kriterien.</text>
  </threadedComment>
  <threadedComment ref="T38" dT="2022-01-25T14:23:51.97" personId="{265DBCCB-B3D3-481F-BBBB-2FD45DDFD5F1}" id="{89132333-E5A7-4A09-991D-6F76E5255BD1}">
    <text>Gezählt werden alle mit "nok" bewerteten Fragen.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vergabe@battke-gruenberg.de"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ACF0-E2EC-4A85-B49A-8C3B70531F94}">
  <sheetPr>
    <tabColor rgb="FF07C0DA"/>
  </sheetPr>
  <dimension ref="A1:D19"/>
  <sheetViews>
    <sheetView showGridLines="0" zoomScaleNormal="100" workbookViewId="0">
      <pane ySplit="6" topLeftCell="A7" activePane="bottomLeft" state="frozen"/>
      <selection activeCell="AZ6" sqref="AZ6"/>
      <selection pane="bottomLeft" activeCell="B11" sqref="B11:C11"/>
    </sheetView>
  </sheetViews>
  <sheetFormatPr baseColWidth="10" defaultColWidth="10.44140625" defaultRowHeight="13.2"/>
  <cols>
    <col min="1" max="1" width="11.44140625" style="65" customWidth="1"/>
    <col min="2" max="2" width="105.44140625" style="10" customWidth="1"/>
    <col min="3" max="3" width="52" style="10" customWidth="1"/>
    <col min="4" max="4" width="7.44140625" style="10" customWidth="1"/>
    <col min="5" max="16384" width="10.44140625" style="10"/>
  </cols>
  <sheetData>
    <row r="1" spans="1:4" s="8" customFormat="1" ht="82.2" customHeight="1">
      <c r="A1" s="101"/>
      <c r="B1" s="363"/>
      <c r="C1" s="363"/>
      <c r="D1" s="61"/>
    </row>
    <row r="2" spans="1:4" s="9" customFormat="1">
      <c r="A2" s="102"/>
      <c r="B2" s="363"/>
      <c r="C2" s="363"/>
      <c r="D2" s="62"/>
    </row>
    <row r="3" spans="1:4" s="3" customFormat="1" ht="38.25" customHeight="1">
      <c r="A3" s="103"/>
      <c r="B3" s="364" t="s">
        <v>0</v>
      </c>
      <c r="C3" s="364"/>
      <c r="D3" s="364"/>
    </row>
    <row r="4" spans="1:4" s="3" customFormat="1" ht="12" customHeight="1">
      <c r="A4" s="103"/>
      <c r="B4" s="365" t="s">
        <v>1</v>
      </c>
      <c r="C4" s="365"/>
      <c r="D4" s="49"/>
    </row>
    <row r="5" spans="1:4" s="3" customFormat="1" ht="12" customHeight="1">
      <c r="A5" s="103"/>
      <c r="B5" s="125" t="str">
        <f>IF(COUNTIF(A:A,"ja")&gt;1,"Sie haben mehr als eine Option ausgewählt.",IF(OR(A7="ja",A10="ja",A13="ja"),"","Bitte treffen Sie eine Auswahl."))</f>
        <v/>
      </c>
      <c r="C5" s="96"/>
      <c r="D5" s="49"/>
    </row>
    <row r="6" spans="1:4">
      <c r="A6" s="104"/>
      <c r="B6" s="96"/>
      <c r="C6" s="96"/>
      <c r="D6" s="49"/>
    </row>
    <row r="7" spans="1:4">
      <c r="A7" s="105"/>
      <c r="B7" s="11" t="s">
        <v>2</v>
      </c>
      <c r="C7" s="11"/>
      <c r="D7" s="11"/>
    </row>
    <row r="8" spans="1:4" ht="24.45" customHeight="1">
      <c r="A8" s="104"/>
      <c r="B8" s="362" t="s">
        <v>3</v>
      </c>
      <c r="C8" s="366"/>
      <c r="D8" s="55"/>
    </row>
    <row r="9" spans="1:4">
      <c r="A9" s="104"/>
      <c r="B9" s="55"/>
      <c r="C9" s="55"/>
      <c r="D9" s="55"/>
    </row>
    <row r="10" spans="1:4">
      <c r="A10" s="105" t="s">
        <v>4</v>
      </c>
      <c r="B10" s="11" t="s">
        <v>5</v>
      </c>
      <c r="C10" s="11"/>
      <c r="D10" s="11"/>
    </row>
    <row r="11" spans="1:4" ht="109.2" customHeight="1">
      <c r="A11" s="104"/>
      <c r="B11" s="362" t="s">
        <v>6</v>
      </c>
      <c r="C11" s="362"/>
      <c r="D11" s="55"/>
    </row>
    <row r="12" spans="1:4">
      <c r="A12" s="104"/>
      <c r="B12" s="55" t="s">
        <v>7</v>
      </c>
      <c r="C12" s="129">
        <v>100</v>
      </c>
      <c r="D12" s="55"/>
    </row>
    <row r="13" spans="1:4">
      <c r="A13" s="105"/>
      <c r="B13" s="11" t="s">
        <v>8</v>
      </c>
      <c r="C13" s="11"/>
      <c r="D13" s="11"/>
    </row>
    <row r="14" spans="1:4" ht="96" customHeight="1">
      <c r="A14" s="104"/>
      <c r="B14" s="362" t="s">
        <v>9</v>
      </c>
      <c r="C14" s="362"/>
      <c r="D14" s="55"/>
    </row>
    <row r="15" spans="1:4" ht="24" customHeight="1">
      <c r="A15" s="104"/>
      <c r="B15" s="126" t="s">
        <v>10</v>
      </c>
      <c r="C15" s="127" t="str">
        <f>IF(SUM(C17:C18)=1,"","FEHLER: Die Summe der Gewichtungsfaktoren ist ungleich 1! Bitte passen Sie die Gewichtungsfaktoren an.")</f>
        <v/>
      </c>
      <c r="D15" s="55"/>
    </row>
    <row r="16" spans="1:4">
      <c r="A16" s="104"/>
      <c r="B16" s="55" t="s">
        <v>11</v>
      </c>
      <c r="C16" s="55"/>
      <c r="D16" s="55"/>
    </row>
    <row r="17" spans="1:4">
      <c r="A17" s="104"/>
      <c r="B17" s="128" t="s">
        <v>12</v>
      </c>
      <c r="C17" s="129">
        <v>0.5</v>
      </c>
      <c r="D17" s="130"/>
    </row>
    <row r="18" spans="1:4">
      <c r="A18" s="104"/>
      <c r="B18" s="128" t="s">
        <v>13</v>
      </c>
      <c r="C18" s="131">
        <v>0.5</v>
      </c>
      <c r="D18" s="130"/>
    </row>
    <row r="19" spans="1:4" ht="13.8" thickBot="1">
      <c r="A19" s="106"/>
      <c r="B19" s="82"/>
      <c r="C19" s="132"/>
      <c r="D19" s="82"/>
    </row>
  </sheetData>
  <mergeCells count="7">
    <mergeCell ref="B14:C14"/>
    <mergeCell ref="B1:C1"/>
    <mergeCell ref="B2:C2"/>
    <mergeCell ref="B3:D3"/>
    <mergeCell ref="B4:C4"/>
    <mergeCell ref="B8:C8"/>
    <mergeCell ref="B11:C11"/>
  </mergeCells>
  <pageMargins left="0.7" right="0.7" top="0.78740157499999996" bottom="0.78740157499999996"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15D4-AFA3-49D8-83E4-95AADB5FE6B3}">
  <sheetPr>
    <tabColor rgb="FF1D466E"/>
  </sheetPr>
  <dimension ref="A1:U25"/>
  <sheetViews>
    <sheetView showGridLines="0" zoomScale="90" zoomScaleNormal="90" workbookViewId="0">
      <pane ySplit="9" topLeftCell="A10" activePane="bottomLeft" state="frozen"/>
      <selection pane="bottomLeft" activeCell="G11" sqref="G11:G15"/>
    </sheetView>
  </sheetViews>
  <sheetFormatPr baseColWidth="10" defaultColWidth="10.44140625" defaultRowHeight="15" customHeight="1" outlineLevelCol="1"/>
  <cols>
    <col min="1" max="1" width="10.44140625" style="53"/>
    <col min="2" max="2" width="10.44140625" style="44"/>
    <col min="3" max="3" width="14.6640625" style="44" customWidth="1"/>
    <col min="4" max="4" width="91.44140625" style="10" customWidth="1"/>
    <col min="5" max="5" width="20.33203125" style="301" bestFit="1" customWidth="1"/>
    <col min="6" max="6" width="18.44140625" style="42" customWidth="1"/>
    <col min="7" max="7" width="43.44140625" style="142" customWidth="1"/>
    <col min="8" max="8" width="24" style="66" customWidth="1"/>
    <col min="9" max="10" width="10.44140625" style="136" customWidth="1"/>
    <col min="11" max="11" width="10.44140625" style="44"/>
    <col min="12" max="12" width="10.44140625" style="136"/>
    <col min="13" max="13" width="10.44140625" style="44"/>
    <col min="14" max="14" width="4.44140625" style="44" customWidth="1"/>
    <col min="15" max="15" width="7.6640625" style="44" hidden="1" customWidth="1" outlineLevel="1"/>
    <col min="16" max="19" width="10.44140625" style="52" hidden="1" customWidth="1" outlineLevel="1"/>
    <col min="20" max="20" width="4.6640625" style="52" hidden="1" customWidth="1" outlineLevel="1"/>
    <col min="21" max="21" width="10.44140625" customWidth="1" collapsed="1"/>
    <col min="22" max="23" width="10.44140625" style="44" customWidth="1"/>
    <col min="24" max="16384" width="10.44140625" style="44"/>
  </cols>
  <sheetData>
    <row r="1" spans="1:20" s="15" customFormat="1" ht="118.95" customHeight="1">
      <c r="A1" s="21"/>
      <c r="B1" s="13"/>
      <c r="C1" s="13"/>
      <c r="D1" s="43"/>
      <c r="E1" s="45"/>
      <c r="F1" s="13"/>
      <c r="G1" s="45"/>
      <c r="H1" s="13"/>
      <c r="I1" s="13"/>
      <c r="J1" s="13"/>
      <c r="K1" s="13"/>
      <c r="L1" s="13"/>
      <c r="M1" s="13"/>
      <c r="N1" s="13"/>
      <c r="O1" s="14"/>
      <c r="P1" s="14"/>
      <c r="Q1" s="14"/>
      <c r="R1" s="14"/>
      <c r="S1" s="14"/>
      <c r="T1" s="14"/>
    </row>
    <row r="2" spans="1:20" s="15" customFormat="1" ht="18">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210"/>
      <c r="F2" s="16"/>
      <c r="G2" s="16"/>
      <c r="H2" s="16"/>
      <c r="I2" s="24"/>
      <c r="J2" s="24"/>
      <c r="K2" s="12"/>
      <c r="L2" s="24"/>
      <c r="M2" s="12"/>
      <c r="N2" s="12"/>
      <c r="O2" s="14"/>
      <c r="P2" s="14"/>
      <c r="Q2" s="14"/>
      <c r="R2" s="14"/>
      <c r="S2" s="14"/>
      <c r="T2" s="14"/>
    </row>
    <row r="3" spans="1:20" s="89" customFormat="1" ht="38.25" customHeight="1">
      <c r="A3" s="87"/>
      <c r="B3" s="369" t="s">
        <v>178</v>
      </c>
      <c r="C3" s="369"/>
      <c r="D3" s="369"/>
      <c r="E3" s="369"/>
      <c r="F3" s="369"/>
      <c r="G3" s="369"/>
      <c r="H3" s="369"/>
      <c r="I3" s="369"/>
      <c r="J3" s="369"/>
      <c r="K3" s="369"/>
      <c r="L3" s="369"/>
      <c r="M3" s="369"/>
      <c r="N3" s="71"/>
      <c r="O3" s="88"/>
      <c r="P3" s="88"/>
      <c r="Q3" s="88"/>
      <c r="R3" s="88"/>
      <c r="S3" s="88"/>
      <c r="T3" s="88"/>
    </row>
    <row r="4" spans="1:20" s="19" customFormat="1" ht="13.2">
      <c r="A4" s="25"/>
      <c r="B4" s="17"/>
      <c r="C4" s="17"/>
      <c r="D4" s="97"/>
      <c r="E4" s="139"/>
      <c r="F4" s="18"/>
      <c r="G4" s="139"/>
      <c r="H4" s="18"/>
      <c r="I4" s="26"/>
      <c r="J4" s="26"/>
      <c r="K4" s="17"/>
      <c r="L4" s="26"/>
      <c r="M4" s="17"/>
      <c r="N4" s="17"/>
      <c r="O4" s="27"/>
      <c r="P4" s="27"/>
      <c r="Q4" s="27"/>
      <c r="R4" s="27"/>
      <c r="S4" s="27"/>
      <c r="T4" s="27"/>
    </row>
    <row r="5" spans="1:20" s="15" customFormat="1" ht="14.7" customHeight="1">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12 Fragen noch nicht beantwortet. Bitte machen Sie Ihre Angaben in allen noch offenen von 'Bieter/in' auszufüllenden Feldern 'Auskunft' und optional 'Kommentar'.</v>
      </c>
      <c r="D5" s="98"/>
      <c r="E5" s="140"/>
      <c r="F5" s="30"/>
      <c r="G5" s="140"/>
      <c r="H5" s="79"/>
      <c r="I5" s="31"/>
      <c r="J5" s="31"/>
      <c r="K5" s="32"/>
      <c r="L5" s="33"/>
      <c r="M5" s="32"/>
      <c r="N5" s="32"/>
      <c r="O5" s="34" t="s">
        <v>230</v>
      </c>
      <c r="P5" s="34"/>
      <c r="Q5" s="34"/>
      <c r="R5" s="34"/>
      <c r="S5" s="34"/>
      <c r="T5" s="34"/>
    </row>
    <row r="6" spans="1:20" s="15" customFormat="1" ht="14.7" customHeight="1">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140"/>
      <c r="F6" s="30"/>
      <c r="G6" s="140"/>
      <c r="H6" s="79"/>
      <c r="I6" s="31"/>
      <c r="J6" s="31"/>
      <c r="K6" s="32"/>
      <c r="L6" s="33"/>
      <c r="M6" s="32"/>
      <c r="N6" s="32"/>
      <c r="O6" s="14"/>
      <c r="P6" s="14"/>
      <c r="Q6" s="14"/>
      <c r="R6" s="14"/>
      <c r="S6" s="14"/>
      <c r="T6" s="14"/>
    </row>
    <row r="7" spans="1:20" s="15" customFormat="1" ht="13.2">
      <c r="A7" s="25"/>
      <c r="B7" s="32"/>
      <c r="C7" s="29" t="str">
        <f>IF(COUNTIF(B10:B125,"B-Kriterium")&gt;0,CONCATENATE("Es wurden ",COUNTIF(B10:B125,"B-Kriterium")-SUM(R8:S8)," von ",COUNTIF(B10:B125,"B-Kriterium")," B-Kriterien beantwortet und ",ROUND(SUM(L:L),2)," von möglichen ",SUM(J:J)," Punkten erreicht."),"")</f>
        <v>Es wurden 0 von 4 B-Kriterien beantwortet und 0 von möglichen 20 Punkten erreicht.</v>
      </c>
      <c r="D7" s="98"/>
      <c r="E7" s="140"/>
      <c r="F7" s="30"/>
      <c r="G7" s="140"/>
      <c r="H7" s="79"/>
      <c r="I7" s="31"/>
      <c r="J7" s="31"/>
      <c r="K7" s="32"/>
      <c r="L7" s="33"/>
      <c r="M7" s="32"/>
      <c r="N7" s="32"/>
      <c r="O7" s="14"/>
      <c r="P7" s="14"/>
      <c r="Q7" s="14"/>
      <c r="R7" s="14"/>
      <c r="S7" s="14"/>
      <c r="T7" s="14"/>
    </row>
    <row r="8" spans="1:20" s="15" customFormat="1" ht="13.2">
      <c r="A8" s="25"/>
      <c r="B8" s="32"/>
      <c r="C8" s="32"/>
      <c r="D8" s="75"/>
      <c r="E8" s="141"/>
      <c r="F8" s="79"/>
      <c r="G8" s="141"/>
      <c r="H8" s="79"/>
      <c r="I8" s="33"/>
      <c r="J8" s="33"/>
      <c r="K8" s="32"/>
      <c r="L8" s="33"/>
      <c r="M8" s="32"/>
      <c r="N8" s="32"/>
      <c r="O8" s="35"/>
      <c r="P8" s="14">
        <f>SUM(P9:P125)</f>
        <v>8</v>
      </c>
      <c r="Q8" s="14">
        <f t="shared" ref="Q8:T8" si="0">SUM(Q9:Q125)</f>
        <v>0</v>
      </c>
      <c r="R8" s="14">
        <f t="shared" si="0"/>
        <v>4</v>
      </c>
      <c r="S8" s="14">
        <f t="shared" si="0"/>
        <v>0</v>
      </c>
      <c r="T8" s="14">
        <f t="shared" si="0"/>
        <v>0</v>
      </c>
    </row>
    <row r="9" spans="1:20" s="15" customFormat="1" ht="52.8">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row>
    <row r="10" spans="1:20" ht="14.4">
      <c r="A10" s="53" t="str">
        <f t="shared" ref="A10:A25" si="1">IF(C10="","","1")</f>
        <v>1</v>
      </c>
      <c r="B10" s="51" t="s">
        <v>153</v>
      </c>
      <c r="C10" s="149" t="s">
        <v>791</v>
      </c>
      <c r="D10" s="55" t="s">
        <v>792</v>
      </c>
      <c r="E10" s="290" t="s">
        <v>153</v>
      </c>
      <c r="F10" s="50" t="s">
        <v>153</v>
      </c>
      <c r="G10" s="95"/>
      <c r="H10" s="100"/>
      <c r="I10" s="80" t="str">
        <f t="shared" ref="I10:I21" si="2">IF(B10="","",IF(B10="B-Kriterium",1,"---"))</f>
        <v/>
      </c>
      <c r="J10" s="80" t="str">
        <f t="shared" ref="J10:J21" si="3">IF(B10="","",IF(B10="A-Kriterium","---",O10))</f>
        <v/>
      </c>
      <c r="K10" s="50" t="str">
        <f t="shared" ref="K10:K21" si="4">IF($B10="A-Kriterium","---",IF(B10="","",IF(AND(B10="B-Kriterium",G10="ja"),J10,0)))</f>
        <v/>
      </c>
      <c r="L10" s="81" t="str">
        <f t="shared" ref="L10:L21" si="5">IF(B10="A-Kriterium","---",IF(B10="","",I10*K10))</f>
        <v/>
      </c>
      <c r="M10" s="42" t="str">
        <f>IF(AND(ISBLANK(G10)=FALSE,B10="B-Kriterium"),"ok",IF($B10="","",_xlfn.IFNA(VLOOKUP(G10,#REF!,2,FALSE),"offen")))</f>
        <v/>
      </c>
      <c r="N10" s="42"/>
      <c r="P10" s="135">
        <f t="shared" ref="P10:P25" si="6">IF(AND($F10="Bieter/in",$B10="A-Kriterium",$M10=P$9),1,0)</f>
        <v>0</v>
      </c>
      <c r="Q10" s="135">
        <f t="shared" ref="Q10:Q25" si="7">IF(AND($F10="Auftragsgeber/in",$B10="A-Kriterium",$M10=Q$9),1,0)</f>
        <v>0</v>
      </c>
      <c r="R10" s="135">
        <f t="shared" ref="R10:R25" si="8">IF(AND($F10="Bieter/in",$B10="B-Kriterium",$M10=R$9),1,0)</f>
        <v>0</v>
      </c>
      <c r="S10" s="135">
        <f t="shared" ref="S10:S25" si="9">IF(AND($F10="Auftragsgeber/in",$B10="B-Kriterium",$M10=S$9),1,0)</f>
        <v>0</v>
      </c>
      <c r="T10" s="135">
        <f t="shared" ref="T10:T21" si="10">IF(M10="nok",1,0)</f>
        <v>0</v>
      </c>
    </row>
    <row r="11" spans="1:20" ht="14.4">
      <c r="A11" s="53" t="str">
        <f t="shared" si="1"/>
        <v>1</v>
      </c>
      <c r="B11" s="51" t="s">
        <v>75</v>
      </c>
      <c r="C11" s="51" t="s">
        <v>793</v>
      </c>
      <c r="D11" s="55" t="s">
        <v>794</v>
      </c>
      <c r="E11" s="290" t="s">
        <v>113</v>
      </c>
      <c r="F11" s="50" t="s">
        <v>95</v>
      </c>
      <c r="G11" s="95"/>
      <c r="H11" s="100"/>
      <c r="I11" s="80" t="str">
        <f t="shared" si="2"/>
        <v>---</v>
      </c>
      <c r="J11" s="80" t="str">
        <f t="shared" si="3"/>
        <v>---</v>
      </c>
      <c r="K11" s="50" t="str">
        <f t="shared" si="4"/>
        <v>---</v>
      </c>
      <c r="L11" s="81" t="str">
        <f t="shared" si="5"/>
        <v>---</v>
      </c>
      <c r="M11" s="42" t="str">
        <f t="shared" ref="M11:M21" si="11">IF(AND(ISBLANK(G11)=FALSE,B11="B-Kriterium"),"ok",IF($B11="","",IF(AND(B11="A-Kriterium",G11="ja"),"ok",IF(AND(B11="A-Kriterium",G11="nein"),"nok","offen"))))</f>
        <v>offen</v>
      </c>
      <c r="N11" s="50"/>
      <c r="P11" s="135">
        <f t="shared" si="6"/>
        <v>1</v>
      </c>
      <c r="Q11" s="135">
        <f t="shared" si="7"/>
        <v>0</v>
      </c>
      <c r="R11" s="135">
        <f t="shared" si="8"/>
        <v>0</v>
      </c>
      <c r="S11" s="135">
        <f t="shared" si="9"/>
        <v>0</v>
      </c>
      <c r="T11" s="135">
        <f t="shared" si="10"/>
        <v>0</v>
      </c>
    </row>
    <row r="12" spans="1:20" ht="42.45" customHeight="1">
      <c r="A12" s="53" t="str">
        <f t="shared" si="1"/>
        <v>1</v>
      </c>
      <c r="B12" s="51" t="s">
        <v>94</v>
      </c>
      <c r="C12" s="51" t="s">
        <v>795</v>
      </c>
      <c r="D12" s="55" t="s">
        <v>796</v>
      </c>
      <c r="E12" s="290" t="s">
        <v>113</v>
      </c>
      <c r="F12" s="50" t="s">
        <v>95</v>
      </c>
      <c r="G12" s="95"/>
      <c r="H12" s="100"/>
      <c r="I12" s="80">
        <f t="shared" si="2"/>
        <v>1</v>
      </c>
      <c r="J12" s="80">
        <f t="shared" si="3"/>
        <v>5</v>
      </c>
      <c r="K12" s="50">
        <f t="shared" si="4"/>
        <v>0</v>
      </c>
      <c r="L12" s="81">
        <f t="shared" si="5"/>
        <v>0</v>
      </c>
      <c r="M12" s="42" t="str">
        <f t="shared" si="11"/>
        <v>offen</v>
      </c>
      <c r="N12" s="50"/>
      <c r="O12" s="44">
        <v>5</v>
      </c>
      <c r="P12" s="135">
        <f t="shared" si="6"/>
        <v>0</v>
      </c>
      <c r="Q12" s="135">
        <f t="shared" si="7"/>
        <v>0</v>
      </c>
      <c r="R12" s="135">
        <f t="shared" si="8"/>
        <v>1</v>
      </c>
      <c r="S12" s="135">
        <f t="shared" si="9"/>
        <v>0</v>
      </c>
      <c r="T12" s="135">
        <f t="shared" si="10"/>
        <v>0</v>
      </c>
    </row>
    <row r="13" spans="1:20" customFormat="1" ht="14.4">
      <c r="A13" s="53" t="str">
        <f t="shared" si="1"/>
        <v>1</v>
      </c>
      <c r="B13" s="51" t="s">
        <v>94</v>
      </c>
      <c r="C13" s="51" t="s">
        <v>797</v>
      </c>
      <c r="D13" s="55" t="s">
        <v>798</v>
      </c>
      <c r="E13" s="290" t="s">
        <v>113</v>
      </c>
      <c r="F13" s="50" t="s">
        <v>95</v>
      </c>
      <c r="G13" s="95"/>
      <c r="H13" s="100"/>
      <c r="I13" s="80">
        <f t="shared" si="2"/>
        <v>1</v>
      </c>
      <c r="J13" s="80">
        <f t="shared" si="3"/>
        <v>5</v>
      </c>
      <c r="K13" s="50">
        <f t="shared" si="4"/>
        <v>0</v>
      </c>
      <c r="L13" s="81">
        <f t="shared" si="5"/>
        <v>0</v>
      </c>
      <c r="M13" s="42" t="str">
        <f t="shared" si="11"/>
        <v>offen</v>
      </c>
      <c r="N13" s="50"/>
      <c r="O13" s="44">
        <v>5</v>
      </c>
      <c r="P13" s="135">
        <f t="shared" si="6"/>
        <v>0</v>
      </c>
      <c r="Q13" s="135">
        <f t="shared" si="7"/>
        <v>0</v>
      </c>
      <c r="R13" s="135">
        <f t="shared" si="8"/>
        <v>1</v>
      </c>
      <c r="S13" s="135">
        <f t="shared" si="9"/>
        <v>0</v>
      </c>
      <c r="T13" s="135">
        <f t="shared" si="10"/>
        <v>0</v>
      </c>
    </row>
    <row r="14" spans="1:20" customFormat="1" ht="16.5" customHeight="1">
      <c r="A14" s="53" t="str">
        <f t="shared" si="1"/>
        <v>1</v>
      </c>
      <c r="B14" s="51" t="s">
        <v>94</v>
      </c>
      <c r="C14" s="51" t="s">
        <v>799</v>
      </c>
      <c r="D14" s="307" t="s">
        <v>800</v>
      </c>
      <c r="E14" s="290" t="s">
        <v>113</v>
      </c>
      <c r="F14" s="50" t="s">
        <v>95</v>
      </c>
      <c r="G14" s="95"/>
      <c r="H14" s="100"/>
      <c r="I14" s="80">
        <f t="shared" si="2"/>
        <v>1</v>
      </c>
      <c r="J14" s="80">
        <f t="shared" si="3"/>
        <v>5</v>
      </c>
      <c r="K14" s="50">
        <f t="shared" si="4"/>
        <v>0</v>
      </c>
      <c r="L14" s="81">
        <f t="shared" si="5"/>
        <v>0</v>
      </c>
      <c r="M14" s="42" t="str">
        <f t="shared" si="11"/>
        <v>offen</v>
      </c>
      <c r="N14" s="50"/>
      <c r="O14" s="44">
        <v>5</v>
      </c>
      <c r="P14" s="135">
        <f t="shared" si="6"/>
        <v>0</v>
      </c>
      <c r="Q14" s="135">
        <f t="shared" si="7"/>
        <v>0</v>
      </c>
      <c r="R14" s="135">
        <f t="shared" si="8"/>
        <v>1</v>
      </c>
      <c r="S14" s="135">
        <f t="shared" si="9"/>
        <v>0</v>
      </c>
      <c r="T14" s="135">
        <f t="shared" si="10"/>
        <v>0</v>
      </c>
    </row>
    <row r="15" spans="1:20" customFormat="1" ht="16.5" customHeight="1">
      <c r="A15" s="53" t="str">
        <f t="shared" si="1"/>
        <v>1</v>
      </c>
      <c r="B15" s="51" t="s">
        <v>94</v>
      </c>
      <c r="C15" s="51" t="s">
        <v>801</v>
      </c>
      <c r="D15" s="55" t="s">
        <v>802</v>
      </c>
      <c r="E15" s="290" t="s">
        <v>113</v>
      </c>
      <c r="F15" s="50" t="s">
        <v>95</v>
      </c>
      <c r="G15" s="95"/>
      <c r="H15" s="100"/>
      <c r="I15" s="80">
        <f t="shared" si="2"/>
        <v>1</v>
      </c>
      <c r="J15" s="80">
        <f t="shared" si="3"/>
        <v>5</v>
      </c>
      <c r="K15" s="50">
        <f t="shared" si="4"/>
        <v>0</v>
      </c>
      <c r="L15" s="81">
        <f t="shared" si="5"/>
        <v>0</v>
      </c>
      <c r="M15" s="42" t="str">
        <f t="shared" si="11"/>
        <v>offen</v>
      </c>
      <c r="N15" s="50"/>
      <c r="O15" s="44">
        <v>5</v>
      </c>
      <c r="P15" s="135">
        <f t="shared" si="6"/>
        <v>0</v>
      </c>
      <c r="Q15" s="135">
        <f t="shared" si="7"/>
        <v>0</v>
      </c>
      <c r="R15" s="135">
        <f t="shared" si="8"/>
        <v>1</v>
      </c>
      <c r="S15" s="135">
        <f t="shared" si="9"/>
        <v>0</v>
      </c>
      <c r="T15" s="135">
        <f t="shared" si="10"/>
        <v>0</v>
      </c>
    </row>
    <row r="16" spans="1:20" customFormat="1" ht="16.5" customHeight="1">
      <c r="A16" s="334" t="str">
        <f t="shared" si="1"/>
        <v/>
      </c>
      <c r="B16" s="51"/>
      <c r="C16" s="51"/>
      <c r="D16" s="55"/>
      <c r="E16" s="290"/>
      <c r="F16" s="50"/>
      <c r="G16" s="50"/>
      <c r="H16" s="50"/>
      <c r="I16" s="80" t="str">
        <f t="shared" si="2"/>
        <v/>
      </c>
      <c r="J16" s="80" t="str">
        <f t="shared" si="3"/>
        <v/>
      </c>
      <c r="K16" s="50" t="str">
        <f t="shared" si="4"/>
        <v/>
      </c>
      <c r="L16" s="81" t="str">
        <f t="shared" si="5"/>
        <v/>
      </c>
      <c r="M16" s="81" t="str">
        <f t="shared" si="11"/>
        <v/>
      </c>
      <c r="N16" s="50"/>
      <c r="O16" s="44"/>
      <c r="P16" s="135">
        <f t="shared" si="6"/>
        <v>0</v>
      </c>
      <c r="Q16" s="135">
        <f t="shared" si="7"/>
        <v>0</v>
      </c>
      <c r="R16" s="135">
        <f t="shared" si="8"/>
        <v>0</v>
      </c>
      <c r="S16" s="135">
        <f t="shared" si="9"/>
        <v>0</v>
      </c>
      <c r="T16" s="135">
        <f t="shared" si="10"/>
        <v>0</v>
      </c>
    </row>
    <row r="17" spans="1:20" customFormat="1" ht="16.5" customHeight="1">
      <c r="A17" s="53" t="str">
        <f t="shared" si="1"/>
        <v>1</v>
      </c>
      <c r="B17" s="51"/>
      <c r="C17" s="333" t="s">
        <v>803</v>
      </c>
      <c r="D17" s="55" t="s">
        <v>804</v>
      </c>
      <c r="E17" s="290"/>
      <c r="F17" s="50"/>
      <c r="G17" s="95"/>
      <c r="H17" s="100"/>
      <c r="I17" s="80" t="str">
        <f t="shared" si="2"/>
        <v/>
      </c>
      <c r="J17" s="80" t="str">
        <f t="shared" si="3"/>
        <v/>
      </c>
      <c r="K17" s="50" t="str">
        <f t="shared" si="4"/>
        <v/>
      </c>
      <c r="L17" s="81" t="str">
        <f t="shared" si="5"/>
        <v/>
      </c>
      <c r="M17" s="42" t="str">
        <f t="shared" si="11"/>
        <v/>
      </c>
      <c r="N17" s="50"/>
      <c r="O17" s="44"/>
      <c r="P17" s="135">
        <f t="shared" si="6"/>
        <v>0</v>
      </c>
      <c r="Q17" s="135">
        <f t="shared" si="7"/>
        <v>0</v>
      </c>
      <c r="R17" s="135">
        <f t="shared" si="8"/>
        <v>0</v>
      </c>
      <c r="S17" s="135">
        <f t="shared" si="9"/>
        <v>0</v>
      </c>
      <c r="T17" s="135">
        <f t="shared" si="10"/>
        <v>0</v>
      </c>
    </row>
    <row r="18" spans="1:20" customFormat="1" ht="52.8">
      <c r="A18" s="53" t="str">
        <f t="shared" si="1"/>
        <v>1</v>
      </c>
      <c r="B18" s="51" t="s">
        <v>75</v>
      </c>
      <c r="C18" s="51" t="s">
        <v>805</v>
      </c>
      <c r="D18" s="55" t="s">
        <v>806</v>
      </c>
      <c r="E18" s="290" t="s">
        <v>807</v>
      </c>
      <c r="F18" s="50" t="s">
        <v>95</v>
      </c>
      <c r="G18" s="95"/>
      <c r="H18" s="100"/>
      <c r="I18" s="80" t="str">
        <f t="shared" si="2"/>
        <v>---</v>
      </c>
      <c r="J18" s="80" t="str">
        <f t="shared" si="3"/>
        <v>---</v>
      </c>
      <c r="K18" s="50" t="str">
        <f t="shared" si="4"/>
        <v>---</v>
      </c>
      <c r="L18" s="81" t="str">
        <f t="shared" si="5"/>
        <v>---</v>
      </c>
      <c r="M18" s="42" t="str">
        <f t="shared" si="11"/>
        <v>offen</v>
      </c>
      <c r="N18" s="50"/>
      <c r="O18" s="44"/>
      <c r="P18" s="135">
        <f t="shared" si="6"/>
        <v>1</v>
      </c>
      <c r="Q18" s="135">
        <f t="shared" si="7"/>
        <v>0</v>
      </c>
      <c r="R18" s="135">
        <f t="shared" si="8"/>
        <v>0</v>
      </c>
      <c r="S18" s="135">
        <f t="shared" si="9"/>
        <v>0</v>
      </c>
      <c r="T18" s="135">
        <f t="shared" si="10"/>
        <v>0</v>
      </c>
    </row>
    <row r="19" spans="1:20" customFormat="1" ht="16.5" customHeight="1">
      <c r="A19" s="53" t="str">
        <f t="shared" si="1"/>
        <v>1</v>
      </c>
      <c r="B19" s="51" t="s">
        <v>75</v>
      </c>
      <c r="C19" s="51" t="s">
        <v>808</v>
      </c>
      <c r="D19" s="128" t="s">
        <v>809</v>
      </c>
      <c r="E19" s="290" t="s">
        <v>113</v>
      </c>
      <c r="F19" s="50" t="s">
        <v>95</v>
      </c>
      <c r="G19" s="95"/>
      <c r="H19" s="100"/>
      <c r="I19" s="80" t="str">
        <f t="shared" si="2"/>
        <v>---</v>
      </c>
      <c r="J19" s="80" t="str">
        <f t="shared" si="3"/>
        <v>---</v>
      </c>
      <c r="K19" s="50" t="str">
        <f t="shared" si="4"/>
        <v>---</v>
      </c>
      <c r="L19" s="81" t="str">
        <f t="shared" si="5"/>
        <v>---</v>
      </c>
      <c r="M19" s="42" t="str">
        <f t="shared" si="11"/>
        <v>offen</v>
      </c>
      <c r="N19" s="50"/>
      <c r="O19" s="44"/>
      <c r="P19" s="135">
        <f t="shared" si="6"/>
        <v>1</v>
      </c>
      <c r="Q19" s="135">
        <f t="shared" si="7"/>
        <v>0</v>
      </c>
      <c r="R19" s="135">
        <f t="shared" si="8"/>
        <v>0</v>
      </c>
      <c r="S19" s="135">
        <f t="shared" si="9"/>
        <v>0</v>
      </c>
      <c r="T19" s="135">
        <f t="shared" si="10"/>
        <v>0</v>
      </c>
    </row>
    <row r="20" spans="1:20" customFormat="1" ht="16.5" customHeight="1">
      <c r="A20" s="53" t="str">
        <f t="shared" si="1"/>
        <v>1</v>
      </c>
      <c r="B20" s="51" t="s">
        <v>75</v>
      </c>
      <c r="C20" s="51" t="s">
        <v>810</v>
      </c>
      <c r="D20" s="128" t="s">
        <v>811</v>
      </c>
      <c r="E20" s="290" t="s">
        <v>113</v>
      </c>
      <c r="F20" s="50" t="s">
        <v>95</v>
      </c>
      <c r="G20" s="95"/>
      <c r="H20" s="100"/>
      <c r="I20" s="80" t="str">
        <f t="shared" si="2"/>
        <v>---</v>
      </c>
      <c r="J20" s="80" t="str">
        <f t="shared" si="3"/>
        <v>---</v>
      </c>
      <c r="K20" s="50" t="str">
        <f t="shared" si="4"/>
        <v>---</v>
      </c>
      <c r="L20" s="81" t="str">
        <f t="shared" si="5"/>
        <v>---</v>
      </c>
      <c r="M20" s="42" t="str">
        <f t="shared" si="11"/>
        <v>offen</v>
      </c>
      <c r="N20" s="50"/>
      <c r="O20" s="44"/>
      <c r="P20" s="135">
        <f t="shared" si="6"/>
        <v>1</v>
      </c>
      <c r="Q20" s="135">
        <f t="shared" si="7"/>
        <v>0</v>
      </c>
      <c r="R20" s="135">
        <f t="shared" si="8"/>
        <v>0</v>
      </c>
      <c r="S20" s="135">
        <f t="shared" si="9"/>
        <v>0</v>
      </c>
      <c r="T20" s="135">
        <f t="shared" si="10"/>
        <v>0</v>
      </c>
    </row>
    <row r="21" spans="1:20" customFormat="1" ht="16.5" customHeight="1">
      <c r="A21" s="53" t="str">
        <f t="shared" si="1"/>
        <v>1</v>
      </c>
      <c r="B21" s="51" t="s">
        <v>75</v>
      </c>
      <c r="C21" s="51" t="s">
        <v>812</v>
      </c>
      <c r="D21" s="128" t="s">
        <v>813</v>
      </c>
      <c r="E21" s="290" t="s">
        <v>113</v>
      </c>
      <c r="F21" s="50" t="s">
        <v>95</v>
      </c>
      <c r="G21" s="95"/>
      <c r="H21" s="100"/>
      <c r="I21" s="80" t="str">
        <f t="shared" si="2"/>
        <v>---</v>
      </c>
      <c r="J21" s="80" t="str">
        <f t="shared" si="3"/>
        <v>---</v>
      </c>
      <c r="K21" s="50" t="str">
        <f t="shared" si="4"/>
        <v>---</v>
      </c>
      <c r="L21" s="81" t="str">
        <f t="shared" si="5"/>
        <v>---</v>
      </c>
      <c r="M21" s="42" t="str">
        <f t="shared" si="11"/>
        <v>offen</v>
      </c>
      <c r="N21" s="50"/>
      <c r="O21" s="44"/>
      <c r="P21" s="135">
        <f t="shared" si="6"/>
        <v>1</v>
      </c>
      <c r="Q21" s="135">
        <f t="shared" si="7"/>
        <v>0</v>
      </c>
      <c r="R21" s="135">
        <f t="shared" si="8"/>
        <v>0</v>
      </c>
      <c r="S21" s="135">
        <f t="shared" si="9"/>
        <v>0</v>
      </c>
      <c r="T21" s="135">
        <f t="shared" si="10"/>
        <v>0</v>
      </c>
    </row>
    <row r="22" spans="1:20" customFormat="1" ht="16.5" customHeight="1">
      <c r="A22" s="53" t="str">
        <f t="shared" si="1"/>
        <v>1</v>
      </c>
      <c r="B22" s="51" t="s">
        <v>75</v>
      </c>
      <c r="C22" s="51" t="s">
        <v>814</v>
      </c>
      <c r="D22" s="128" t="s">
        <v>815</v>
      </c>
      <c r="E22" s="290" t="s">
        <v>113</v>
      </c>
      <c r="F22" s="50" t="s">
        <v>95</v>
      </c>
      <c r="G22" s="95"/>
      <c r="H22" s="100"/>
      <c r="I22" s="80" t="str">
        <f t="shared" ref="I22:I24" si="12">IF(B22="","",IF(B22="B-Kriterium",1,"---"))</f>
        <v>---</v>
      </c>
      <c r="J22" s="80" t="str">
        <f t="shared" ref="J22:J24" si="13">IF(B22="","",IF(B22="A-Kriterium","---",O22))</f>
        <v>---</v>
      </c>
      <c r="K22" s="50" t="str">
        <f t="shared" ref="K22:K24" si="14">IF($B22="A-Kriterium","---",IF(B22="","",IF(AND(B22="B-Kriterium",G22="ja"),J22,0)))</f>
        <v>---</v>
      </c>
      <c r="L22" s="81" t="str">
        <f t="shared" ref="L22:L24" si="15">IF(B22="A-Kriterium","---",IF(B22="","",I22*K22))</f>
        <v>---</v>
      </c>
      <c r="M22" s="42" t="str">
        <f t="shared" ref="M22:M24" si="16">IF(AND(ISBLANK(G22)=FALSE,B22="B-Kriterium"),"ok",IF($B22="","",IF(AND(B22="A-Kriterium",G22="ja"),"ok",IF(AND(B22="A-Kriterium",G22="nein"),"nok","offen"))))</f>
        <v>offen</v>
      </c>
      <c r="N22" s="50"/>
      <c r="O22" s="44"/>
      <c r="P22" s="135">
        <f t="shared" si="6"/>
        <v>1</v>
      </c>
      <c r="Q22" s="135">
        <f t="shared" si="7"/>
        <v>0</v>
      </c>
      <c r="R22" s="135">
        <f t="shared" si="8"/>
        <v>0</v>
      </c>
      <c r="S22" s="135">
        <f t="shared" si="9"/>
        <v>0</v>
      </c>
      <c r="T22" s="135">
        <f t="shared" ref="T22:T24" si="17">IF(M22="nok",1,0)</f>
        <v>0</v>
      </c>
    </row>
    <row r="23" spans="1:20" customFormat="1" ht="16.5" customHeight="1">
      <c r="A23" s="53" t="str">
        <f t="shared" si="1"/>
        <v>1</v>
      </c>
      <c r="B23" s="51" t="s">
        <v>75</v>
      </c>
      <c r="C23" s="51" t="s">
        <v>816</v>
      </c>
      <c r="D23" s="128" t="s">
        <v>817</v>
      </c>
      <c r="E23" s="290" t="s">
        <v>113</v>
      </c>
      <c r="F23" s="50" t="s">
        <v>95</v>
      </c>
      <c r="G23" s="95"/>
      <c r="H23" s="100"/>
      <c r="I23" s="80" t="str">
        <f t="shared" si="12"/>
        <v>---</v>
      </c>
      <c r="J23" s="80" t="str">
        <f t="shared" si="13"/>
        <v>---</v>
      </c>
      <c r="K23" s="50" t="str">
        <f t="shared" si="14"/>
        <v>---</v>
      </c>
      <c r="L23" s="81" t="str">
        <f t="shared" si="15"/>
        <v>---</v>
      </c>
      <c r="M23" s="42" t="str">
        <f t="shared" si="16"/>
        <v>offen</v>
      </c>
      <c r="N23" s="50"/>
      <c r="O23" s="44"/>
      <c r="P23" s="135">
        <f t="shared" si="6"/>
        <v>1</v>
      </c>
      <c r="Q23" s="135">
        <f t="shared" si="7"/>
        <v>0</v>
      </c>
      <c r="R23" s="135">
        <f t="shared" si="8"/>
        <v>0</v>
      </c>
      <c r="S23" s="135">
        <f t="shared" si="9"/>
        <v>0</v>
      </c>
      <c r="T23" s="135">
        <f t="shared" si="17"/>
        <v>0</v>
      </c>
    </row>
    <row r="24" spans="1:20" customFormat="1" ht="16.5" customHeight="1">
      <c r="A24" s="53" t="str">
        <f t="shared" si="1"/>
        <v>1</v>
      </c>
      <c r="B24" s="51" t="s">
        <v>75</v>
      </c>
      <c r="C24" s="51" t="s">
        <v>818</v>
      </c>
      <c r="D24" s="128" t="s">
        <v>819</v>
      </c>
      <c r="E24" s="290" t="s">
        <v>113</v>
      </c>
      <c r="F24" s="50" t="s">
        <v>95</v>
      </c>
      <c r="G24" s="95"/>
      <c r="H24" s="100"/>
      <c r="I24" s="80" t="str">
        <f t="shared" si="12"/>
        <v>---</v>
      </c>
      <c r="J24" s="80" t="str">
        <f t="shared" si="13"/>
        <v>---</v>
      </c>
      <c r="K24" s="50" t="str">
        <f t="shared" si="14"/>
        <v>---</v>
      </c>
      <c r="L24" s="81" t="str">
        <f t="shared" si="15"/>
        <v>---</v>
      </c>
      <c r="M24" s="42" t="str">
        <f t="shared" si="16"/>
        <v>offen</v>
      </c>
      <c r="N24" s="50"/>
      <c r="O24" s="44"/>
      <c r="P24" s="135">
        <f t="shared" si="6"/>
        <v>1</v>
      </c>
      <c r="Q24" s="135">
        <f t="shared" si="7"/>
        <v>0</v>
      </c>
      <c r="R24" s="135">
        <f t="shared" si="8"/>
        <v>0</v>
      </c>
      <c r="S24" s="135">
        <f t="shared" si="9"/>
        <v>0</v>
      </c>
      <c r="T24" s="135">
        <f t="shared" si="17"/>
        <v>0</v>
      </c>
    </row>
    <row r="25" spans="1:20" customFormat="1" ht="16.5" customHeight="1">
      <c r="A25" s="334" t="str">
        <f t="shared" si="1"/>
        <v/>
      </c>
      <c r="B25" s="51"/>
      <c r="C25" s="51"/>
      <c r="D25" s="55"/>
      <c r="E25" s="290"/>
      <c r="F25" s="50"/>
      <c r="G25" s="50"/>
      <c r="H25" s="50"/>
      <c r="I25" s="80" t="str">
        <f>IF(B25="","",IF(B25="B-Kriterium",1,"---"))</f>
        <v/>
      </c>
      <c r="J25" s="80" t="str">
        <f>IF(B25="","",IF(B25="A-Kriterium","---",O25))</f>
        <v/>
      </c>
      <c r="K25" s="50" t="str">
        <f>IF($B25="A-Kriterium","---",IF(B25="","",IF(AND(B25="B-Kriterium",G25="ja"),J25,0)))</f>
        <v/>
      </c>
      <c r="L25" s="81" t="str">
        <f>IF(B25="A-Kriterium","---",IF(B25="","",I25*K25))</f>
        <v/>
      </c>
      <c r="M25" s="81" t="str">
        <f>IF(AND(ISBLANK(G25)=FALSE,B25="B-Kriterium"),"ok",IF($B25="","",IF(AND(B25="A-Kriterium",G25="ja"),"ok",IF(AND(B25="A-Kriterium",G25="nein"),"nok","offen"))))</f>
        <v/>
      </c>
      <c r="N25" s="50"/>
      <c r="O25" s="44"/>
      <c r="P25" s="135">
        <f t="shared" si="6"/>
        <v>0</v>
      </c>
      <c r="Q25" s="135">
        <f t="shared" si="7"/>
        <v>0</v>
      </c>
      <c r="R25" s="135">
        <f t="shared" si="8"/>
        <v>0</v>
      </c>
      <c r="S25" s="135">
        <f t="shared" si="9"/>
        <v>0</v>
      </c>
      <c r="T25" s="135">
        <f>IF(M25="nok",1,0)</f>
        <v>0</v>
      </c>
    </row>
  </sheetData>
  <sheetProtection algorithmName="SHA-512" hashValue="PiroW5rn35W8wt3SYnc3fCb0fd110SavQlPLG2B70vUZWD5x93ZaelBpgTDsQzIeIbb5Phjfbw2W5aOGlqPD9Q==" saltValue="lb7VxshCp8z2v30wPS0YFA==" spinCount="100000" sheet="1" selectLockedCells="1" sort="0" autoFilter="0"/>
  <protectedRanges>
    <protectedRange sqref="L9:T9 A9:I9 A10:T25" name="AllowSortFilter"/>
    <protectedRange sqref="J9:K9" name="AllowSortFilter_1"/>
  </protectedRanges>
  <autoFilter ref="A9:M33" xr:uid="{00000000-0009-0000-0000-00000B000000}"/>
  <mergeCells count="3">
    <mergeCell ref="B3:E3"/>
    <mergeCell ref="F3:I3"/>
    <mergeCell ref="J3:M3"/>
  </mergeCells>
  <phoneticPr fontId="5" type="noConversion"/>
  <conditionalFormatting sqref="A10:A25">
    <cfRule type="expression" dxfId="33" priority="6">
      <formula>$A10="1"</formula>
    </cfRule>
  </conditionalFormatting>
  <conditionalFormatting sqref="B10:O25">
    <cfRule type="expression" dxfId="32" priority="10">
      <formula>IF($C10="",0,1)+IF($B10="",0,1)=1</formula>
    </cfRule>
  </conditionalFormatting>
  <conditionalFormatting sqref="G10:H25">
    <cfRule type="expression" dxfId="31" priority="3">
      <formula>$B10="B-Kriterium"</formula>
    </cfRule>
    <cfRule type="expression" dxfId="30" priority="4">
      <formula>$B10="A-Kriterium"</formula>
    </cfRule>
  </conditionalFormatting>
  <conditionalFormatting sqref="M10:O25">
    <cfRule type="cellIs" dxfId="29" priority="7" operator="equal">
      <formula>"offen"</formula>
    </cfRule>
    <cfRule type="cellIs" dxfId="28" priority="8" operator="equal">
      <formula>"ok"</formula>
    </cfRule>
    <cfRule type="cellIs" dxfId="27" priority="9" operator="equal">
      <formula>"nok"</formula>
    </cfRule>
  </conditionalFormatting>
  <conditionalFormatting sqref="O10:O25">
    <cfRule type="expression" dxfId="26" priority="1">
      <formula>$B10="B-Kriterium"</formula>
    </cfRule>
  </conditionalFormatting>
  <dataValidations count="2">
    <dataValidation type="list" allowBlank="1" showInputMessage="1" showErrorMessage="1" sqref="G10" xr:uid="{0D3AAD36-A552-4C15-8D1B-5382825BA465}">
      <formula1>IF(O10="","",INDIRECT("tab_wertebereich_inhalt["&amp;O10&amp;"]"))</formula1>
    </dataValidation>
    <dataValidation type="list" allowBlank="1" showInputMessage="1" showErrorMessage="1" sqref="G11:G25" xr:uid="{8AD5957D-A7F3-4F5D-8ACB-F114D7EB13D7}">
      <formula1>"ja,nein"</formula1>
    </dataValidation>
  </dataValidations>
  <pageMargins left="0.7" right="0.7" top="0.78740157499999996" bottom="0.78740157499999996" header="0.3" footer="0.3"/>
  <pageSetup paperSize="9"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4D7A6C5-7BCF-4FE8-97C3-33EA93F6A688}">
          <x14:formula1>
            <xm:f>Tabelle1!$A$2:$A$3</xm:f>
          </x14:formula1>
          <xm:sqref>B10:B25 B34:B1048576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0FCB-BC19-4C22-B2AE-97E3FF55C08A}">
  <sheetPr>
    <tabColor rgb="FF1D466E"/>
  </sheetPr>
  <dimension ref="A1:U68"/>
  <sheetViews>
    <sheetView showGridLines="0" zoomScale="80" zoomScaleNormal="80" workbookViewId="0">
      <pane ySplit="7" topLeftCell="A46" activePane="bottomLeft" state="frozen"/>
      <selection pane="bottomLeft" activeCell="G48" sqref="G48"/>
    </sheetView>
  </sheetViews>
  <sheetFormatPr baseColWidth="10" defaultColWidth="10.44140625" defaultRowHeight="13.2" outlineLevelCol="1"/>
  <cols>
    <col min="1" max="1" width="10.44140625" style="53"/>
    <col min="2" max="2" width="14.44140625" style="44" customWidth="1"/>
    <col min="3" max="3" width="10.44140625" style="44"/>
    <col min="4" max="4" width="91.44140625" style="10" customWidth="1"/>
    <col min="5" max="5" width="18" style="42" bestFit="1" customWidth="1"/>
    <col min="6" max="6" width="18.44140625" style="42" customWidth="1"/>
    <col min="7" max="7" width="43.44140625" style="142" customWidth="1"/>
    <col min="8" max="8" width="24" style="66" customWidth="1"/>
    <col min="9" max="9" width="11.44140625" style="136" bestFit="1" customWidth="1"/>
    <col min="10" max="10" width="11.44140625" style="136" customWidth="1"/>
    <col min="11" max="11" width="10.44140625" style="44"/>
    <col min="12" max="12" width="10.44140625" style="136"/>
    <col min="13" max="13" width="10.44140625" style="44"/>
    <col min="14" max="14" width="4.44140625" style="44" customWidth="1"/>
    <col min="15" max="15" width="7.6640625" style="44" hidden="1" customWidth="1" outlineLevel="1"/>
    <col min="16" max="19" width="10.44140625" style="52" hidden="1" customWidth="1" outlineLevel="1"/>
    <col min="20" max="20" width="3.6640625" style="52" hidden="1" customWidth="1" outlineLevel="1"/>
    <col min="21" max="21" width="10.44140625" style="44" collapsed="1"/>
    <col min="22" max="16384" width="10.44140625" style="44"/>
  </cols>
  <sheetData>
    <row r="1" spans="1:20" s="15" customFormat="1" ht="106.2" customHeight="1">
      <c r="A1" s="21"/>
      <c r="B1" s="13"/>
      <c r="C1" s="13"/>
      <c r="D1" s="43"/>
      <c r="E1" s="13"/>
      <c r="F1" s="13"/>
      <c r="G1" s="45"/>
      <c r="H1" s="13"/>
      <c r="I1" s="13"/>
      <c r="J1" s="13"/>
      <c r="K1" s="13"/>
      <c r="L1" s="13"/>
      <c r="M1" s="13"/>
      <c r="N1" s="13"/>
      <c r="O1" s="14"/>
      <c r="P1" s="14"/>
      <c r="Q1" s="14"/>
      <c r="R1" s="14"/>
      <c r="S1" s="14"/>
      <c r="T1" s="14"/>
    </row>
    <row r="2" spans="1:20" s="15" customFormat="1" ht="24" customHeight="1">
      <c r="A2" s="23"/>
      <c r="B2" s="369" t="str">
        <f>CONCATENATE("Bewertung der Konzepte von ",'Allg. Bieterangaben'!E17," im Vergabeverfahren ","'",'Allg. Bieterangaben'!E13,"'")</f>
        <v>Bewertung der Konzepte von  im Vergabeverfahren 'Entlassmanagement: Digitales Entlass- und Überleitungsmanagement'</v>
      </c>
      <c r="C2" s="369"/>
      <c r="D2" s="369"/>
      <c r="E2" s="369"/>
      <c r="F2" s="369"/>
      <c r="G2" s="138"/>
      <c r="H2" s="16"/>
      <c r="I2" s="24"/>
      <c r="J2" s="24"/>
      <c r="K2" s="12"/>
      <c r="L2" s="24"/>
      <c r="M2" s="12"/>
      <c r="N2" s="12"/>
      <c r="O2" s="14"/>
      <c r="P2" s="14"/>
      <c r="Q2" s="14"/>
      <c r="R2" s="14"/>
      <c r="S2" s="14"/>
      <c r="T2" s="14"/>
    </row>
    <row r="3" spans="1:20" s="89" customFormat="1" ht="27.75" customHeight="1">
      <c r="A3" s="87"/>
      <c r="B3" s="369"/>
      <c r="C3" s="369"/>
      <c r="D3" s="369"/>
      <c r="E3" s="369"/>
      <c r="F3" s="369"/>
      <c r="G3" s="369"/>
      <c r="H3" s="369"/>
      <c r="I3" s="369"/>
      <c r="J3" s="369"/>
      <c r="K3" s="369"/>
      <c r="L3" s="369"/>
      <c r="M3" s="369"/>
      <c r="N3" s="71"/>
      <c r="O3" s="88"/>
      <c r="P3" s="88"/>
      <c r="Q3" s="88"/>
      <c r="R3" s="88"/>
      <c r="S3" s="88"/>
      <c r="T3" s="88"/>
    </row>
    <row r="4" spans="1:20" s="19" customFormat="1">
      <c r="A4" s="25"/>
      <c r="B4" s="17"/>
      <c r="C4" s="17"/>
      <c r="D4" s="97"/>
      <c r="E4" s="18"/>
      <c r="F4" s="18"/>
      <c r="G4" s="139"/>
      <c r="H4" s="18"/>
      <c r="I4" s="26"/>
      <c r="J4" s="26"/>
      <c r="K4" s="17"/>
      <c r="L4" s="26"/>
      <c r="M4" s="17"/>
      <c r="N4" s="17"/>
      <c r="O4" s="27"/>
      <c r="P4" s="27"/>
      <c r="Q4" s="27"/>
      <c r="R4" s="27"/>
      <c r="S4" s="27"/>
      <c r="T4" s="27"/>
    </row>
    <row r="5" spans="1:20" s="15" customFormat="1" ht="14.7" customHeight="1">
      <c r="A5" s="25"/>
      <c r="B5" s="28" t="s">
        <v>229</v>
      </c>
      <c r="C5" s="29" t="str">
        <f>IF(AND(P45+R45=0,Q45+S45=0),"Es wurden alle Fragen beantwortet.",IF(AND(P45+R45=0,Q45+S45&gt;0),"Sie haben alle Fragen beantwortet. Es müssen noch "&amp;Q45+S45&amp;" Fragen durch die/den Auftargsgeber/in beantwortet werden.","Sie haben "&amp;P45+R45&amp;" Fragen noch nicht beantwortet. Bitte machen Sie Ihre Angaben in allen noch offenen von 'Bieter/in' auszufüllenden Feldern 'Auskunft' und optional 'Kommentar'."))</f>
        <v>Sie haben 7 Fragen noch nicht beantwortet. Bitte machen Sie Ihre Angaben in allen noch offenen von 'Bieter/in' auszufüllenden Feldern 'Auskunft' und optional 'Kommentar'.</v>
      </c>
      <c r="D5" s="98"/>
      <c r="E5" s="30"/>
      <c r="F5" s="30"/>
      <c r="G5" s="140"/>
      <c r="H5" s="79"/>
      <c r="I5" s="31"/>
      <c r="J5" s="31"/>
      <c r="K5" s="32"/>
      <c r="L5" s="33"/>
      <c r="M5" s="32"/>
      <c r="N5" s="32"/>
      <c r="O5" s="34" t="s">
        <v>230</v>
      </c>
      <c r="P5" s="34"/>
      <c r="Q5" s="34"/>
      <c r="R5" s="34"/>
      <c r="S5" s="34"/>
      <c r="T5" s="34"/>
    </row>
    <row r="6" spans="1:20" s="15" customFormat="1" ht="14.7" customHeight="1">
      <c r="A6" s="25"/>
      <c r="B6" s="32"/>
      <c r="C6" s="29" t="str">
        <f>IF(AND($P$45=0,$Q$45=0,$T$45=0),"Sie erfüllen alle A-Kriterien und haben sich zur Teilnahme am weiteren Verfahren qualifiziert.",IF($T$45&gt;0,"Sie erfüllen "&amp;$T$45&amp;" A-Kriterien nicht und haben sich daher nicht zur Teilnahme am weiteren Verfahren qualifiziert.",IF($P$45&gt;0,"Bitte beantworten Sie alle offenen Fragen.","Für eine abschließende Bewertung der A-Kriterien müssen noch "&amp;$Q$45&amp;" Fragen durch die/den Auftargsgeber/in beantwortet werden.")))</f>
        <v>Bitte beantworten Sie alle offenen Fragen.</v>
      </c>
      <c r="D6" s="98"/>
      <c r="E6" s="30"/>
      <c r="F6" s="30"/>
      <c r="G6" s="140"/>
      <c r="H6" s="79"/>
      <c r="I6" s="31"/>
      <c r="J6" s="31"/>
      <c r="K6" s="32"/>
      <c r="L6" s="33"/>
      <c r="M6" s="32"/>
      <c r="N6" s="32"/>
      <c r="O6" s="14"/>
      <c r="P6" s="14"/>
      <c r="Q6" s="14"/>
      <c r="R6" s="14"/>
      <c r="S6" s="14"/>
      <c r="T6" s="14"/>
    </row>
    <row r="7" spans="1:20" s="15" customFormat="1">
      <c r="A7" s="25"/>
      <c r="B7" s="32"/>
      <c r="C7" s="29" t="str">
        <f>IF(COUNTIF(B47:B67,"B-Kriterium")&gt;0,CONCATENATE("Es wurden ",COUNTIF(B47:B67,"B-Kriterium")-SUM(R45:S45)," von ",COUNTIF(B47:B67,"B-Kriterium")," B-Kriterien beantwortet und ",ROUND(SUM(L:L),2)," von möglichen ",SUM(J:J)," Punkten erreicht."),"")</f>
        <v>Es wurden 0 von 7 B-Kriterien beantwortet und 0 von möglichen 35 Punkten erreicht.</v>
      </c>
      <c r="D7" s="98"/>
      <c r="E7" s="30"/>
      <c r="F7" s="30"/>
      <c r="G7" s="140"/>
      <c r="H7" s="79"/>
      <c r="I7" s="31"/>
      <c r="J7" s="31"/>
      <c r="K7" s="32"/>
      <c r="L7" s="33"/>
      <c r="M7" s="32"/>
      <c r="N7" s="32"/>
      <c r="O7" s="14"/>
      <c r="P7" s="14"/>
      <c r="Q7" s="14"/>
      <c r="R7" s="14"/>
      <c r="S7" s="14"/>
      <c r="T7" s="14"/>
    </row>
    <row r="8" spans="1:20">
      <c r="A8" s="48"/>
      <c r="B8" s="54" t="s">
        <v>820</v>
      </c>
      <c r="C8" s="56"/>
      <c r="D8" s="86"/>
      <c r="E8" s="86"/>
      <c r="F8" s="86"/>
      <c r="G8" s="86"/>
      <c r="H8" s="86"/>
      <c r="I8" s="86"/>
      <c r="J8" s="86"/>
      <c r="K8" s="86"/>
      <c r="L8" s="86"/>
      <c r="M8" s="86"/>
      <c r="N8" s="86"/>
      <c r="P8" s="44"/>
      <c r="Q8" s="44"/>
      <c r="R8" s="44"/>
      <c r="S8" s="44"/>
      <c r="T8" s="44"/>
    </row>
    <row r="9" spans="1:20" s="15" customFormat="1" ht="28.95" customHeight="1">
      <c r="A9" s="25"/>
      <c r="B9" s="371" t="s">
        <v>821</v>
      </c>
      <c r="C9" s="371"/>
      <c r="D9" s="371"/>
      <c r="E9" s="371"/>
      <c r="F9" s="371"/>
      <c r="G9" s="371"/>
      <c r="H9" s="371"/>
      <c r="I9" s="371"/>
      <c r="J9" s="371"/>
      <c r="K9" s="371"/>
      <c r="L9" s="371"/>
      <c r="M9" s="371"/>
      <c r="N9" s="32"/>
      <c r="O9" s="14"/>
      <c r="P9" s="14"/>
      <c r="Q9" s="14"/>
      <c r="R9" s="14"/>
      <c r="S9" s="14"/>
      <c r="T9" s="14"/>
    </row>
    <row r="10" spans="1:20" s="15" customFormat="1">
      <c r="A10" s="25"/>
      <c r="B10" s="308"/>
      <c r="C10" s="374" t="s">
        <v>822</v>
      </c>
      <c r="D10" s="374"/>
      <c r="E10" s="374"/>
      <c r="F10" s="374"/>
      <c r="G10" s="374"/>
      <c r="H10" s="374"/>
      <c r="I10" s="374"/>
      <c r="J10" s="374"/>
      <c r="K10" s="374"/>
      <c r="L10" s="374"/>
      <c r="M10" s="374"/>
      <c r="N10" s="32"/>
      <c r="O10" s="14"/>
      <c r="P10" s="14"/>
      <c r="Q10" s="14"/>
      <c r="R10" s="14"/>
      <c r="S10" s="14"/>
      <c r="T10" s="14"/>
    </row>
    <row r="11" spans="1:20" s="15" customFormat="1" ht="179.7" customHeight="1">
      <c r="A11" s="25"/>
      <c r="B11" s="308"/>
      <c r="C11" s="375" t="s">
        <v>823</v>
      </c>
      <c r="D11" s="376"/>
      <c r="E11" s="376"/>
      <c r="F11" s="376"/>
      <c r="G11" s="376"/>
      <c r="H11" s="376"/>
      <c r="I11" s="376"/>
      <c r="J11" s="376"/>
      <c r="K11" s="376"/>
      <c r="L11" s="376"/>
      <c r="M11" s="376"/>
      <c r="N11" s="32"/>
      <c r="O11" s="14"/>
      <c r="P11" s="14"/>
      <c r="Q11" s="14"/>
      <c r="R11" s="14"/>
      <c r="S11" s="14"/>
      <c r="T11" s="14"/>
    </row>
    <row r="12" spans="1:20" s="15" customFormat="1">
      <c r="A12" s="25"/>
      <c r="B12" s="377" t="s">
        <v>824</v>
      </c>
      <c r="C12" s="377"/>
      <c r="D12" s="377"/>
      <c r="E12" s="377"/>
      <c r="F12" s="377"/>
      <c r="G12" s="377"/>
      <c r="H12" s="377"/>
      <c r="I12" s="377"/>
      <c r="J12" s="377"/>
      <c r="K12" s="377"/>
      <c r="L12" s="377"/>
      <c r="M12" s="377"/>
      <c r="N12" s="303"/>
      <c r="O12" s="14"/>
      <c r="P12" s="14"/>
      <c r="Q12" s="14"/>
      <c r="R12" s="14"/>
      <c r="S12" s="14"/>
      <c r="T12" s="14"/>
    </row>
    <row r="13" spans="1:20" s="15" customFormat="1" ht="16.5" customHeight="1">
      <c r="A13" s="25"/>
      <c r="B13" s="309"/>
      <c r="C13" s="374" t="s">
        <v>825</v>
      </c>
      <c r="D13" s="374"/>
      <c r="E13" s="374"/>
      <c r="F13" s="374"/>
      <c r="G13" s="374"/>
      <c r="H13" s="374"/>
      <c r="I13" s="374"/>
      <c r="J13" s="374"/>
      <c r="K13" s="374"/>
      <c r="L13" s="374"/>
      <c r="M13" s="374"/>
      <c r="N13" s="309"/>
      <c r="O13" s="14"/>
      <c r="P13" s="14"/>
      <c r="Q13" s="14"/>
      <c r="R13" s="14"/>
      <c r="S13" s="14"/>
      <c r="T13" s="14"/>
    </row>
    <row r="14" spans="1:20" ht="122.7" customHeight="1">
      <c r="A14" s="264"/>
      <c r="B14" s="96"/>
      <c r="C14" s="375" t="s">
        <v>826</v>
      </c>
      <c r="D14" s="376"/>
      <c r="E14" s="376"/>
      <c r="F14" s="376"/>
      <c r="G14" s="376"/>
      <c r="H14" s="376"/>
      <c r="I14" s="376"/>
      <c r="J14" s="376"/>
      <c r="K14" s="376"/>
      <c r="L14" s="376"/>
      <c r="M14" s="376"/>
      <c r="N14" s="320"/>
      <c r="O14" s="52"/>
    </row>
    <row r="15" spans="1:20" s="15" customFormat="1" ht="28.95" customHeight="1">
      <c r="A15" s="25"/>
      <c r="B15" s="371" t="s">
        <v>827</v>
      </c>
      <c r="C15" s="371"/>
      <c r="D15" s="371"/>
      <c r="E15" s="371"/>
      <c r="F15" s="371"/>
      <c r="G15" s="371"/>
      <c r="H15" s="371"/>
      <c r="I15" s="371"/>
      <c r="J15" s="371"/>
      <c r="K15" s="371"/>
      <c r="L15" s="371"/>
      <c r="M15" s="371"/>
      <c r="N15" s="303"/>
      <c r="O15" s="14"/>
      <c r="P15" s="14"/>
      <c r="Q15" s="14"/>
      <c r="R15" s="14"/>
      <c r="S15" s="14"/>
      <c r="T15" s="14"/>
    </row>
    <row r="16" spans="1:20" s="15" customFormat="1">
      <c r="A16" s="25"/>
      <c r="B16" s="308"/>
      <c r="C16" s="374" t="s">
        <v>828</v>
      </c>
      <c r="D16" s="374"/>
      <c r="E16" s="374"/>
      <c r="F16" s="374"/>
      <c r="G16" s="374"/>
      <c r="H16" s="374"/>
      <c r="I16" s="374"/>
      <c r="J16" s="374"/>
      <c r="K16" s="374"/>
      <c r="L16" s="374"/>
      <c r="M16" s="374"/>
      <c r="N16" s="308"/>
      <c r="O16" s="14"/>
      <c r="P16" s="14"/>
      <c r="Q16" s="14"/>
      <c r="R16" s="14"/>
      <c r="S16" s="14"/>
      <c r="T16" s="14"/>
    </row>
    <row r="17" spans="1:20" s="15" customFormat="1" ht="75" customHeight="1">
      <c r="A17" s="25"/>
      <c r="B17" s="308"/>
      <c r="C17" s="375" t="s">
        <v>829</v>
      </c>
      <c r="D17" s="376"/>
      <c r="E17" s="376"/>
      <c r="F17" s="376"/>
      <c r="G17" s="376"/>
      <c r="H17" s="376"/>
      <c r="I17" s="376"/>
      <c r="J17" s="376"/>
      <c r="K17" s="376"/>
      <c r="L17" s="376"/>
      <c r="M17" s="376"/>
      <c r="N17" s="308"/>
      <c r="O17" s="14"/>
      <c r="P17" s="14"/>
      <c r="Q17" s="14"/>
      <c r="R17" s="14"/>
      <c r="S17" s="14"/>
      <c r="T17" s="14"/>
    </row>
    <row r="18" spans="1:20" s="15" customFormat="1" ht="28.95" customHeight="1">
      <c r="A18" s="25"/>
      <c r="B18" s="378" t="s">
        <v>830</v>
      </c>
      <c r="C18" s="371"/>
      <c r="D18" s="371"/>
      <c r="E18" s="371"/>
      <c r="F18" s="371"/>
      <c r="G18" s="371"/>
      <c r="H18" s="371"/>
      <c r="I18" s="371"/>
      <c r="J18" s="371"/>
      <c r="K18" s="371"/>
      <c r="L18" s="371"/>
      <c r="M18" s="371"/>
      <c r="N18" s="303"/>
      <c r="O18" s="14"/>
      <c r="P18" s="14"/>
      <c r="Q18" s="14"/>
      <c r="R18" s="14"/>
      <c r="S18" s="14"/>
      <c r="T18" s="14"/>
    </row>
    <row r="19" spans="1:20" s="15" customFormat="1" ht="17.25" customHeight="1">
      <c r="A19" s="25"/>
      <c r="B19" s="308"/>
      <c r="C19" s="379" t="s">
        <v>828</v>
      </c>
      <c r="D19" s="379"/>
      <c r="E19" s="379"/>
      <c r="F19" s="379"/>
      <c r="G19" s="379"/>
      <c r="H19" s="379"/>
      <c r="I19" s="379"/>
      <c r="J19" s="379"/>
      <c r="K19" s="379"/>
      <c r="L19" s="379"/>
      <c r="M19" s="379"/>
      <c r="N19" s="308"/>
      <c r="O19" s="14"/>
      <c r="P19" s="14"/>
      <c r="Q19" s="14"/>
      <c r="R19" s="14"/>
      <c r="S19" s="14"/>
      <c r="T19" s="14"/>
    </row>
    <row r="20" spans="1:20" s="15" customFormat="1" ht="108.45" customHeight="1">
      <c r="A20" s="25"/>
      <c r="B20" s="308"/>
      <c r="C20" s="375" t="s">
        <v>831</v>
      </c>
      <c r="D20" s="376"/>
      <c r="E20" s="376"/>
      <c r="F20" s="376"/>
      <c r="G20" s="376"/>
      <c r="H20" s="376"/>
      <c r="I20" s="376"/>
      <c r="J20" s="376"/>
      <c r="K20" s="376"/>
      <c r="L20" s="376"/>
      <c r="M20" s="376"/>
      <c r="N20" s="308"/>
      <c r="O20" s="14"/>
      <c r="P20" s="14"/>
      <c r="Q20" s="14"/>
      <c r="R20" s="14"/>
      <c r="S20" s="14"/>
      <c r="T20" s="14"/>
    </row>
    <row r="21" spans="1:20" s="15" customFormat="1" ht="28.95" customHeight="1">
      <c r="A21" s="25"/>
      <c r="B21" s="371" t="s">
        <v>832</v>
      </c>
      <c r="C21" s="371"/>
      <c r="D21" s="371"/>
      <c r="E21" s="371"/>
      <c r="F21" s="371"/>
      <c r="G21" s="371"/>
      <c r="H21" s="371"/>
      <c r="I21" s="371"/>
      <c r="J21" s="371"/>
      <c r="K21" s="371"/>
      <c r="L21" s="371"/>
      <c r="M21" s="371"/>
      <c r="N21" s="303"/>
      <c r="O21" s="14"/>
      <c r="P21" s="14"/>
      <c r="Q21" s="14"/>
      <c r="R21" s="14"/>
      <c r="S21" s="14"/>
      <c r="T21" s="14"/>
    </row>
    <row r="22" spans="1:20" s="15" customFormat="1" ht="16.5" customHeight="1">
      <c r="A22" s="25"/>
      <c r="B22" s="308"/>
      <c r="C22" s="374" t="s">
        <v>833</v>
      </c>
      <c r="D22" s="374"/>
      <c r="E22" s="374"/>
      <c r="F22" s="374"/>
      <c r="G22" s="374"/>
      <c r="H22" s="374"/>
      <c r="I22" s="374"/>
      <c r="J22" s="374"/>
      <c r="K22" s="374"/>
      <c r="L22" s="374"/>
      <c r="M22" s="374"/>
      <c r="N22" s="308"/>
      <c r="O22" s="14"/>
      <c r="P22" s="14"/>
      <c r="Q22" s="14"/>
      <c r="R22" s="14"/>
      <c r="S22" s="14"/>
      <c r="T22" s="14"/>
    </row>
    <row r="23" spans="1:20" s="15" customFormat="1" ht="64.95" customHeight="1">
      <c r="A23" s="25"/>
      <c r="B23" s="308"/>
      <c r="C23" s="375" t="s">
        <v>834</v>
      </c>
      <c r="D23" s="376"/>
      <c r="E23" s="376"/>
      <c r="F23" s="376"/>
      <c r="G23" s="376"/>
      <c r="H23" s="376"/>
      <c r="I23" s="376"/>
      <c r="J23" s="376"/>
      <c r="K23" s="376"/>
      <c r="L23" s="376"/>
      <c r="M23" s="376"/>
      <c r="N23" s="308"/>
      <c r="O23" s="14"/>
      <c r="P23" s="14"/>
      <c r="Q23" s="14"/>
      <c r="R23" s="14"/>
      <c r="S23" s="14"/>
      <c r="T23" s="14"/>
    </row>
    <row r="24" spans="1:20" s="15" customFormat="1" ht="28.95" customHeight="1">
      <c r="A24" s="25"/>
      <c r="B24" s="377" t="s">
        <v>835</v>
      </c>
      <c r="C24" s="377"/>
      <c r="D24" s="377"/>
      <c r="E24" s="377"/>
      <c r="F24" s="377"/>
      <c r="G24" s="377"/>
      <c r="H24" s="377"/>
      <c r="I24" s="377"/>
      <c r="J24" s="377"/>
      <c r="K24" s="377"/>
      <c r="L24" s="377"/>
      <c r="M24" s="377"/>
      <c r="N24" s="32"/>
      <c r="O24" s="14"/>
      <c r="P24" s="14"/>
      <c r="Q24" s="14"/>
      <c r="R24" s="14"/>
      <c r="S24" s="14"/>
      <c r="T24" s="14"/>
    </row>
    <row r="25" spans="1:20" s="15" customFormat="1" ht="15" customHeight="1">
      <c r="A25" s="25"/>
      <c r="B25" s="309"/>
      <c r="C25" s="374" t="s">
        <v>836</v>
      </c>
      <c r="D25" s="374"/>
      <c r="E25" s="374"/>
      <c r="F25" s="374"/>
      <c r="G25" s="374"/>
      <c r="H25" s="374"/>
      <c r="I25" s="374"/>
      <c r="J25" s="374"/>
      <c r="K25" s="374"/>
      <c r="L25" s="374"/>
      <c r="M25" s="311" t="s">
        <v>837</v>
      </c>
      <c r="N25" s="32"/>
      <c r="O25" s="14"/>
      <c r="P25" s="14"/>
      <c r="Q25" s="14"/>
      <c r="R25" s="14"/>
      <c r="S25" s="14"/>
      <c r="T25" s="14"/>
    </row>
    <row r="26" spans="1:20" s="15" customFormat="1" ht="88.95" customHeight="1">
      <c r="A26" s="25"/>
      <c r="B26" s="309"/>
      <c r="C26" s="375" t="s">
        <v>838</v>
      </c>
      <c r="D26" s="376"/>
      <c r="E26" s="376"/>
      <c r="F26" s="376"/>
      <c r="G26" s="376"/>
      <c r="H26" s="376"/>
      <c r="I26" s="376"/>
      <c r="J26" s="376"/>
      <c r="K26" s="376"/>
      <c r="L26" s="376"/>
      <c r="M26" s="376"/>
      <c r="N26" s="32"/>
      <c r="O26" s="14"/>
      <c r="P26" s="14"/>
      <c r="Q26" s="14"/>
      <c r="R26" s="14"/>
      <c r="S26" s="14"/>
      <c r="T26" s="14"/>
    </row>
    <row r="27" spans="1:20" s="15" customFormat="1" ht="28.95" customHeight="1">
      <c r="A27" s="25"/>
      <c r="B27" s="377" t="s">
        <v>839</v>
      </c>
      <c r="C27" s="377"/>
      <c r="D27" s="377"/>
      <c r="E27" s="377"/>
      <c r="F27" s="377"/>
      <c r="G27" s="377"/>
      <c r="H27" s="377"/>
      <c r="I27" s="377"/>
      <c r="J27" s="377"/>
      <c r="K27" s="377"/>
      <c r="L27" s="377"/>
      <c r="M27" s="377"/>
      <c r="N27" s="32"/>
      <c r="O27" s="14"/>
      <c r="P27" s="14"/>
      <c r="Q27" s="14"/>
      <c r="R27" s="14"/>
      <c r="S27" s="14"/>
      <c r="T27" s="14"/>
    </row>
    <row r="28" spans="1:20" s="15" customFormat="1" ht="17.25" customHeight="1">
      <c r="A28" s="25"/>
      <c r="B28" s="309"/>
      <c r="C28" s="371" t="s">
        <v>825</v>
      </c>
      <c r="D28" s="371"/>
      <c r="E28" s="371"/>
      <c r="F28" s="371"/>
      <c r="G28" s="371"/>
      <c r="H28" s="371"/>
      <c r="I28" s="371"/>
      <c r="J28" s="371"/>
      <c r="K28" s="371"/>
      <c r="L28" s="371"/>
      <c r="M28" s="371"/>
      <c r="N28" s="32"/>
      <c r="O28" s="14"/>
      <c r="P28" s="14"/>
      <c r="Q28" s="14"/>
      <c r="R28" s="14"/>
      <c r="S28" s="14"/>
      <c r="T28" s="14"/>
    </row>
    <row r="29" spans="1:20" s="305" customFormat="1" ht="105" customHeight="1">
      <c r="A29" s="321"/>
      <c r="B29" s="322"/>
      <c r="C29" s="372" t="s">
        <v>840</v>
      </c>
      <c r="D29" s="373"/>
      <c r="E29" s="373"/>
      <c r="F29" s="373"/>
      <c r="G29" s="373"/>
      <c r="H29" s="373"/>
      <c r="I29" s="373"/>
      <c r="J29" s="373"/>
      <c r="K29" s="373"/>
      <c r="L29" s="373"/>
      <c r="M29" s="373"/>
      <c r="N29" s="184"/>
      <c r="O29" s="323"/>
      <c r="P29" s="323"/>
      <c r="Q29" s="323"/>
      <c r="R29" s="323"/>
      <c r="S29" s="323"/>
      <c r="T29" s="323"/>
    </row>
    <row r="30" spans="1:20" s="15" customFormat="1">
      <c r="A30" s="25"/>
      <c r="B30" s="32"/>
      <c r="C30" s="29"/>
      <c r="D30" s="98"/>
      <c r="E30" s="30"/>
      <c r="F30" s="30"/>
      <c r="G30" s="140"/>
      <c r="H30" s="79"/>
      <c r="I30" s="31"/>
      <c r="J30" s="31"/>
      <c r="K30" s="32"/>
      <c r="L30" s="33"/>
      <c r="M30" s="32"/>
      <c r="N30" s="32"/>
      <c r="O30" s="14"/>
      <c r="P30" s="14"/>
      <c r="Q30" s="14"/>
      <c r="R30" s="14"/>
      <c r="S30" s="14"/>
      <c r="T30" s="14"/>
    </row>
    <row r="31" spans="1:20">
      <c r="A31" s="48"/>
      <c r="B31" s="54" t="s">
        <v>841</v>
      </c>
      <c r="C31" s="56"/>
      <c r="D31" s="86"/>
      <c r="E31" s="86"/>
      <c r="F31" s="86"/>
      <c r="G31" s="86"/>
      <c r="H31" s="86"/>
      <c r="I31" s="86"/>
      <c r="J31" s="86"/>
      <c r="K31" s="86"/>
      <c r="L31" s="86"/>
      <c r="M31" s="86"/>
      <c r="N31" s="86"/>
      <c r="P31" s="44"/>
      <c r="Q31" s="44"/>
      <c r="R31" s="44"/>
      <c r="S31" s="44"/>
      <c r="T31" s="44"/>
    </row>
    <row r="32" spans="1:20">
      <c r="A32" s="48"/>
      <c r="B32" s="368" t="s">
        <v>842</v>
      </c>
      <c r="C32" s="368"/>
      <c r="D32" s="368"/>
      <c r="E32" s="368"/>
      <c r="F32" s="368"/>
      <c r="G32" s="368"/>
      <c r="H32" s="368"/>
      <c r="I32" s="368"/>
      <c r="J32" s="368"/>
      <c r="K32" s="368"/>
      <c r="L32" s="368"/>
      <c r="M32" s="368"/>
      <c r="N32" s="51"/>
      <c r="P32" s="44"/>
      <c r="Q32" s="44"/>
      <c r="R32" s="44"/>
      <c r="S32" s="44"/>
      <c r="T32" s="44"/>
    </row>
    <row r="33" spans="1:20">
      <c r="A33" s="48"/>
      <c r="B33" s="157"/>
      <c r="C33" s="157"/>
      <c r="D33" s="157"/>
      <c r="E33" s="157"/>
      <c r="F33" s="157"/>
      <c r="G33" s="157"/>
      <c r="H33" s="157"/>
      <c r="I33" s="157"/>
      <c r="J33" s="157"/>
      <c r="K33" s="157"/>
      <c r="L33" s="157"/>
      <c r="M33" s="157"/>
      <c r="N33" s="51"/>
      <c r="P33" s="44"/>
      <c r="Q33" s="44"/>
      <c r="R33" s="44"/>
      <c r="S33" s="44"/>
      <c r="T33" s="44"/>
    </row>
    <row r="34" spans="1:20">
      <c r="A34" s="48"/>
      <c r="B34" s="368" t="s">
        <v>843</v>
      </c>
      <c r="C34" s="368"/>
      <c r="D34" s="368"/>
      <c r="E34" s="368"/>
      <c r="F34" s="368"/>
      <c r="G34" s="368"/>
      <c r="H34" s="368"/>
      <c r="I34" s="368"/>
      <c r="J34" s="368"/>
      <c r="K34" s="368"/>
      <c r="L34" s="368"/>
      <c r="M34" s="368"/>
      <c r="N34" s="51"/>
      <c r="P34" s="44"/>
      <c r="Q34" s="44"/>
      <c r="R34" s="44"/>
      <c r="S34" s="44"/>
      <c r="T34" s="44"/>
    </row>
    <row r="35" spans="1:20">
      <c r="A35" s="48"/>
      <c r="B35" s="157"/>
      <c r="C35" s="158"/>
      <c r="D35" s="51"/>
      <c r="E35" s="51"/>
      <c r="F35" s="51"/>
      <c r="G35" s="51"/>
      <c r="H35" s="51"/>
      <c r="I35" s="51"/>
      <c r="J35" s="51"/>
      <c r="K35" s="51"/>
      <c r="L35" s="51"/>
      <c r="M35" s="51"/>
      <c r="N35" s="51"/>
      <c r="P35" s="44"/>
      <c r="Q35" s="44"/>
      <c r="R35" s="44"/>
      <c r="S35" s="44"/>
      <c r="T35" s="44"/>
    </row>
    <row r="36" spans="1:20" ht="27.45" customHeight="1">
      <c r="A36" s="48"/>
      <c r="B36" s="368" t="s">
        <v>844</v>
      </c>
      <c r="C36" s="368"/>
      <c r="D36" s="368"/>
      <c r="E36" s="368"/>
      <c r="F36" s="368"/>
      <c r="G36" s="368"/>
      <c r="H36" s="368"/>
      <c r="I36" s="368"/>
      <c r="J36" s="368"/>
      <c r="K36" s="368"/>
      <c r="L36" s="368"/>
      <c r="M36" s="368"/>
      <c r="N36" s="51"/>
      <c r="P36" s="44"/>
      <c r="Q36" s="44"/>
      <c r="R36" s="44"/>
      <c r="S36" s="44"/>
      <c r="T36" s="44"/>
    </row>
    <row r="37" spans="1:20">
      <c r="A37" s="48"/>
      <c r="B37" s="157"/>
      <c r="C37" s="158"/>
      <c r="D37" s="51"/>
      <c r="E37" s="51"/>
      <c r="F37" s="51"/>
      <c r="G37" s="51"/>
      <c r="H37" s="51"/>
      <c r="I37" s="51"/>
      <c r="J37" s="51"/>
      <c r="K37" s="51"/>
      <c r="L37" s="51"/>
      <c r="M37" s="51"/>
      <c r="N37" s="51"/>
      <c r="P37" s="44"/>
      <c r="Q37" s="44"/>
      <c r="R37" s="44"/>
      <c r="S37" s="44"/>
      <c r="T37" s="44"/>
    </row>
    <row r="38" spans="1:20" ht="27.45" customHeight="1">
      <c r="A38" s="48"/>
      <c r="B38" s="368" t="s">
        <v>845</v>
      </c>
      <c r="C38" s="368"/>
      <c r="D38" s="368"/>
      <c r="E38" s="368"/>
      <c r="F38" s="368"/>
      <c r="G38" s="368"/>
      <c r="H38" s="368"/>
      <c r="I38" s="368"/>
      <c r="J38" s="368"/>
      <c r="K38" s="368"/>
      <c r="L38" s="368"/>
      <c r="M38" s="368"/>
      <c r="N38" s="51"/>
      <c r="P38" s="44"/>
      <c r="Q38" s="44"/>
      <c r="R38" s="44"/>
      <c r="S38" s="44"/>
      <c r="T38" s="44"/>
    </row>
    <row r="39" spans="1:20">
      <c r="A39" s="48"/>
      <c r="B39" s="157"/>
      <c r="C39" s="158"/>
      <c r="D39" s="51"/>
      <c r="E39" s="51"/>
      <c r="F39" s="51"/>
      <c r="G39" s="51"/>
      <c r="H39" s="51"/>
      <c r="I39" s="51"/>
      <c r="J39" s="51"/>
      <c r="K39" s="51"/>
      <c r="L39" s="51"/>
      <c r="M39" s="51"/>
      <c r="N39" s="51"/>
      <c r="P39" s="44"/>
      <c r="Q39" s="44"/>
      <c r="R39" s="44"/>
      <c r="S39" s="44"/>
      <c r="T39" s="44"/>
    </row>
    <row r="40" spans="1:20" ht="27.45" customHeight="1">
      <c r="A40" s="48"/>
      <c r="B40" s="368" t="s">
        <v>846</v>
      </c>
      <c r="C40" s="368"/>
      <c r="D40" s="368"/>
      <c r="E40" s="368"/>
      <c r="F40" s="368"/>
      <c r="G40" s="368"/>
      <c r="H40" s="368"/>
      <c r="I40" s="368"/>
      <c r="J40" s="368"/>
      <c r="K40" s="368"/>
      <c r="L40" s="368"/>
      <c r="M40" s="368"/>
      <c r="N40" s="51"/>
      <c r="P40" s="44"/>
      <c r="Q40" s="44"/>
      <c r="R40" s="44"/>
      <c r="S40" s="44"/>
      <c r="T40" s="44"/>
    </row>
    <row r="41" spans="1:20">
      <c r="A41" s="48"/>
      <c r="B41" s="157"/>
      <c r="C41" s="158"/>
      <c r="D41" s="51"/>
      <c r="E41" s="51"/>
      <c r="F41" s="51"/>
      <c r="G41" s="51"/>
      <c r="H41" s="51"/>
      <c r="I41" s="51"/>
      <c r="J41" s="51"/>
      <c r="K41" s="51"/>
      <c r="L41" s="51"/>
      <c r="M41" s="51"/>
      <c r="N41" s="51"/>
      <c r="P41" s="44"/>
      <c r="Q41" s="44"/>
      <c r="R41" s="44"/>
      <c r="S41" s="44"/>
      <c r="T41" s="44"/>
    </row>
    <row r="42" spans="1:20" ht="27.45" customHeight="1">
      <c r="A42" s="48"/>
      <c r="B42" s="368" t="s">
        <v>847</v>
      </c>
      <c r="C42" s="368"/>
      <c r="D42" s="368"/>
      <c r="E42" s="368"/>
      <c r="F42" s="368"/>
      <c r="G42" s="368"/>
      <c r="H42" s="368"/>
      <c r="I42" s="368"/>
      <c r="J42" s="368"/>
      <c r="K42" s="368"/>
      <c r="L42" s="368"/>
      <c r="M42" s="368"/>
      <c r="N42" s="51"/>
      <c r="P42" s="44"/>
      <c r="Q42" s="44"/>
      <c r="R42" s="44"/>
      <c r="S42" s="44"/>
      <c r="T42" s="44"/>
    </row>
    <row r="43" spans="1:20">
      <c r="A43" s="48"/>
      <c r="B43" s="157"/>
      <c r="C43" s="157"/>
      <c r="D43" s="51"/>
      <c r="E43" s="51"/>
      <c r="F43" s="51"/>
      <c r="G43" s="51"/>
      <c r="H43" s="51"/>
      <c r="I43" s="51"/>
      <c r="J43" s="51"/>
      <c r="K43" s="51"/>
      <c r="L43" s="51"/>
      <c r="M43" s="51"/>
      <c r="N43" s="51"/>
      <c r="P43" s="44"/>
      <c r="Q43" s="44"/>
      <c r="R43" s="44"/>
      <c r="S43" s="44"/>
      <c r="T43" s="44"/>
    </row>
    <row r="44" spans="1:20" ht="27.45" customHeight="1">
      <c r="A44" s="48"/>
      <c r="B44" s="368" t="s">
        <v>848</v>
      </c>
      <c r="C44" s="368"/>
      <c r="D44" s="368"/>
      <c r="E44" s="368"/>
      <c r="F44" s="368"/>
      <c r="G44" s="368"/>
      <c r="H44" s="368"/>
      <c r="I44" s="368"/>
      <c r="J44" s="368"/>
      <c r="K44" s="368"/>
      <c r="L44" s="368"/>
      <c r="M44" s="368"/>
      <c r="N44" s="51"/>
      <c r="P44" s="44"/>
      <c r="Q44" s="44"/>
      <c r="R44" s="44"/>
      <c r="S44" s="44"/>
      <c r="T44" s="44"/>
    </row>
    <row r="45" spans="1:20" s="15" customFormat="1">
      <c r="A45" s="25"/>
      <c r="B45" s="32"/>
      <c r="C45" s="32"/>
      <c r="D45" s="75"/>
      <c r="E45" s="79"/>
      <c r="F45" s="79"/>
      <c r="G45" s="141"/>
      <c r="H45" s="79"/>
      <c r="I45" s="33"/>
      <c r="J45" s="33"/>
      <c r="K45" s="32"/>
      <c r="L45" s="33"/>
      <c r="M45" s="32"/>
      <c r="N45" s="32"/>
      <c r="O45" s="35"/>
      <c r="P45" s="14">
        <f>SUM(P46:P67)</f>
        <v>7</v>
      </c>
      <c r="Q45" s="14">
        <f>SUM(Q46:Q67)</f>
        <v>0</v>
      </c>
      <c r="R45" s="14">
        <f>SUM(R46:R67)</f>
        <v>0</v>
      </c>
      <c r="S45" s="14">
        <f>SUM(S46:S67)</f>
        <v>7</v>
      </c>
      <c r="T45" s="14">
        <f>SUM(T46:T67)</f>
        <v>0</v>
      </c>
    </row>
    <row r="46" spans="1:20" s="15" customFormat="1" ht="52.8">
      <c r="A46" s="25"/>
      <c r="B46" s="36" t="s">
        <v>231</v>
      </c>
      <c r="C46" s="37" t="s">
        <v>232</v>
      </c>
      <c r="D46" s="37" t="s">
        <v>233</v>
      </c>
      <c r="E46" s="36" t="s">
        <v>234</v>
      </c>
      <c r="F46" s="36" t="s">
        <v>18</v>
      </c>
      <c r="G46" s="36"/>
      <c r="H46" s="36" t="s">
        <v>235</v>
      </c>
      <c r="I46" s="38" t="s">
        <v>236</v>
      </c>
      <c r="J46" s="39" t="s">
        <v>237</v>
      </c>
      <c r="K46" s="36" t="s">
        <v>238</v>
      </c>
      <c r="L46" s="39" t="s">
        <v>239</v>
      </c>
      <c r="M46" s="36" t="s">
        <v>240</v>
      </c>
      <c r="N46" s="36"/>
      <c r="O46" s="40"/>
      <c r="P46" s="41" t="s">
        <v>241</v>
      </c>
      <c r="Q46" s="41" t="s">
        <v>241</v>
      </c>
      <c r="R46" s="41" t="s">
        <v>241</v>
      </c>
      <c r="S46" s="41" t="s">
        <v>241</v>
      </c>
      <c r="T46" s="41" t="s">
        <v>242</v>
      </c>
    </row>
    <row r="47" spans="1:20">
      <c r="A47" s="53" t="str">
        <f>IF(C47="","","1")</f>
        <v>1</v>
      </c>
      <c r="B47" s="51" t="s">
        <v>153</v>
      </c>
      <c r="C47" s="51" t="s">
        <v>849</v>
      </c>
      <c r="D47" s="312" t="s">
        <v>850</v>
      </c>
      <c r="E47" s="50" t="s">
        <v>153</v>
      </c>
      <c r="F47" s="50" t="s">
        <v>153</v>
      </c>
      <c r="G47" s="316"/>
      <c r="H47" s="317"/>
      <c r="I47" s="80" t="str">
        <f t="shared" ref="I47:I48" si="0">IF(B47="","",IF(B47="B-Kriterium",1,"---"))</f>
        <v/>
      </c>
      <c r="J47" s="80" t="str">
        <f t="shared" ref="J47:J48" si="1">IF(B47="","",IF(B47="A-Kriterium","---",O47))</f>
        <v/>
      </c>
      <c r="K47" s="50" t="str">
        <f t="shared" ref="K47:K64" si="2">IF($B47="A-Kriterium","---",IF(B47="","",IF(B47="B-Kriterium",G47,0)))</f>
        <v/>
      </c>
      <c r="L47" s="81" t="str">
        <f t="shared" ref="L47:L55" si="3">IF(B47="A-Kriterium","---",IF(B47="","",I47*K47))</f>
        <v/>
      </c>
      <c r="M47" s="42" t="str">
        <f>IF(AND(ISBLANK(G47)=FALSE,B47="B-Kriterium"),"ok",IF($B47="","",_xlfn.IFNA(VLOOKUP(G47,#REF!,2,FALSE),"offen")))</f>
        <v/>
      </c>
      <c r="N47" s="42"/>
      <c r="P47" s="135"/>
      <c r="Q47" s="135"/>
      <c r="R47" s="135"/>
      <c r="S47" s="135"/>
      <c r="T47" s="135"/>
    </row>
    <row r="48" spans="1:20">
      <c r="A48" s="53" t="str">
        <f t="shared" ref="A48:A67" si="4">IF(C48="","","1")</f>
        <v>1</v>
      </c>
      <c r="B48" s="51" t="s">
        <v>75</v>
      </c>
      <c r="C48" s="51" t="s">
        <v>851</v>
      </c>
      <c r="D48" s="148" t="s">
        <v>852</v>
      </c>
      <c r="E48" s="50" t="s">
        <v>853</v>
      </c>
      <c r="F48" s="50" t="s">
        <v>95</v>
      </c>
      <c r="G48" s="95"/>
      <c r="H48" s="100"/>
      <c r="I48" s="80" t="str">
        <f t="shared" si="0"/>
        <v>---</v>
      </c>
      <c r="J48" s="80" t="str">
        <f t="shared" si="1"/>
        <v>---</v>
      </c>
      <c r="K48" s="50" t="str">
        <f t="shared" si="2"/>
        <v>---</v>
      </c>
      <c r="L48" s="81" t="str">
        <f t="shared" si="3"/>
        <v>---</v>
      </c>
      <c r="M48" s="42" t="str">
        <f t="shared" ref="M48:M64" si="5">IF(AND(ISBLANK(G48)=FALSE,B48="B-Kriterium"),"ok",IF($B48="","",IF(AND(B48="A-Kriterium",G48="ja"),"ok",IF(AND(B48="A-Kriterium",G48="nein"),"nok","offen"))))</f>
        <v>offen</v>
      </c>
      <c r="N48" s="50"/>
      <c r="P48" s="135">
        <f t="shared" ref="P48:P67" si="6">IF(AND($F48="Bieter/in",$B48="A-Kriterium",$M48=P$46),1,0)</f>
        <v>1</v>
      </c>
      <c r="Q48" s="135">
        <f t="shared" ref="Q48:Q67" si="7">IF(AND($F48="Auftraggeber/in",$B48="A-Kriterium",$M48=Q$46),1,0)</f>
        <v>0</v>
      </c>
      <c r="R48" s="135">
        <f t="shared" ref="R48:R67" si="8">IF(AND($F48="Bieter/in",$B48="B-Kriterium",$M48=R$46),1,0)</f>
        <v>0</v>
      </c>
      <c r="S48" s="135">
        <f t="shared" ref="S48:S63" si="9">IF(AND($F48="Auftraggeber/in",$B48="B-Kriterium",$M48=S$46),1,0)</f>
        <v>0</v>
      </c>
      <c r="T48" s="135">
        <f t="shared" ref="T48:T64" si="10">IF(M48="nok",1,0)</f>
        <v>0</v>
      </c>
    </row>
    <row r="49" spans="1:20">
      <c r="A49" s="21" t="str">
        <f t="shared" si="4"/>
        <v>1</v>
      </c>
      <c r="B49" s="51" t="s">
        <v>94</v>
      </c>
      <c r="C49" s="51" t="s">
        <v>854</v>
      </c>
      <c r="D49" s="313" t="s">
        <v>855</v>
      </c>
      <c r="E49" s="50" t="s">
        <v>853</v>
      </c>
      <c r="F49" s="50" t="s">
        <v>856</v>
      </c>
      <c r="G49" s="95"/>
      <c r="H49" s="100"/>
      <c r="I49" s="80">
        <f>IF(B49="","",IF(B49="B-Kriterium",1,"---"))</f>
        <v>1</v>
      </c>
      <c r="J49" s="169">
        <f>IF(B49="","",IF(B49="A-Kriterium","---",O49))</f>
        <v>5</v>
      </c>
      <c r="K49" s="50">
        <f t="shared" si="2"/>
        <v>0</v>
      </c>
      <c r="L49" s="81">
        <f>IF(B49="A-Kriterium","---",IF(B49="","",I49*K49))</f>
        <v>0</v>
      </c>
      <c r="M49" s="42" t="str">
        <f t="shared" si="5"/>
        <v>offen</v>
      </c>
      <c r="N49" s="50"/>
      <c r="O49" s="51">
        <v>5</v>
      </c>
      <c r="P49" s="135">
        <f t="shared" si="6"/>
        <v>0</v>
      </c>
      <c r="Q49" s="135">
        <f t="shared" si="7"/>
        <v>0</v>
      </c>
      <c r="R49" s="135">
        <f t="shared" si="8"/>
        <v>0</v>
      </c>
      <c r="S49" s="135">
        <f t="shared" si="9"/>
        <v>1</v>
      </c>
      <c r="T49" s="135">
        <f t="shared" si="10"/>
        <v>0</v>
      </c>
    </row>
    <row r="50" spans="1:20">
      <c r="A50" s="21"/>
      <c r="B50" s="51"/>
      <c r="C50" s="51" t="s">
        <v>857</v>
      </c>
      <c r="D50" s="148" t="s">
        <v>858</v>
      </c>
      <c r="E50" s="50"/>
      <c r="F50" s="50"/>
      <c r="G50" s="50"/>
      <c r="H50" s="324"/>
      <c r="I50" s="80"/>
      <c r="J50" s="169"/>
      <c r="K50" s="50" t="str">
        <f t="shared" si="2"/>
        <v/>
      </c>
      <c r="L50" s="81"/>
      <c r="M50" s="42" t="str">
        <f t="shared" si="5"/>
        <v/>
      </c>
      <c r="N50" s="50"/>
      <c r="O50" s="51"/>
      <c r="P50" s="135"/>
      <c r="Q50" s="135"/>
      <c r="R50" s="135"/>
      <c r="S50" s="135"/>
      <c r="T50" s="135"/>
    </row>
    <row r="51" spans="1:20" customFormat="1" ht="14.4">
      <c r="A51" s="53" t="str">
        <f t="shared" si="4"/>
        <v>1</v>
      </c>
      <c r="B51" s="51" t="s">
        <v>75</v>
      </c>
      <c r="C51" s="51" t="s">
        <v>859</v>
      </c>
      <c r="D51" s="148" t="s">
        <v>860</v>
      </c>
      <c r="E51" s="50" t="s">
        <v>861</v>
      </c>
      <c r="F51" s="50" t="s">
        <v>95</v>
      </c>
      <c r="G51" s="95"/>
      <c r="H51" s="100"/>
      <c r="I51" s="80" t="str">
        <f t="shared" ref="I51:I55" si="11">IF(B51="","",IF(B51="B-Kriterium",1,"---"))</f>
        <v>---</v>
      </c>
      <c r="J51" s="169" t="str">
        <f t="shared" ref="J51" si="12">IF(B51="","",IF(B51="A-Kriterium","---",O51))</f>
        <v>---</v>
      </c>
      <c r="K51" s="50" t="str">
        <f t="shared" si="2"/>
        <v>---</v>
      </c>
      <c r="L51" s="81" t="str">
        <f t="shared" si="3"/>
        <v>---</v>
      </c>
      <c r="M51" s="42" t="str">
        <f t="shared" si="5"/>
        <v>offen</v>
      </c>
      <c r="N51" s="50"/>
      <c r="O51" s="44"/>
      <c r="P51" s="135">
        <f t="shared" si="6"/>
        <v>1</v>
      </c>
      <c r="Q51" s="135">
        <f t="shared" si="7"/>
        <v>0</v>
      </c>
      <c r="R51" s="135">
        <f t="shared" si="8"/>
        <v>0</v>
      </c>
      <c r="S51" s="135">
        <f t="shared" si="9"/>
        <v>0</v>
      </c>
      <c r="T51" s="135">
        <f t="shared" si="10"/>
        <v>0</v>
      </c>
    </row>
    <row r="52" spans="1:20" customFormat="1" ht="14.4">
      <c r="A52" s="21" t="str">
        <f t="shared" si="4"/>
        <v>1</v>
      </c>
      <c r="B52" s="51" t="s">
        <v>94</v>
      </c>
      <c r="C52" s="51" t="s">
        <v>862</v>
      </c>
      <c r="D52" s="313" t="s">
        <v>855</v>
      </c>
      <c r="E52" s="50" t="s">
        <v>861</v>
      </c>
      <c r="F52" s="50" t="s">
        <v>856</v>
      </c>
      <c r="G52" s="95"/>
      <c r="H52" s="100"/>
      <c r="I52" s="80">
        <f t="shared" si="11"/>
        <v>1</v>
      </c>
      <c r="J52" s="169">
        <f>IF(B52="","",IF(B52="A-Kriterium","---",O52))</f>
        <v>5</v>
      </c>
      <c r="K52" s="50">
        <f t="shared" si="2"/>
        <v>0</v>
      </c>
      <c r="L52" s="81">
        <f t="shared" si="3"/>
        <v>0</v>
      </c>
      <c r="M52" s="42" t="str">
        <f t="shared" si="5"/>
        <v>offen</v>
      </c>
      <c r="N52" s="50"/>
      <c r="O52" s="51">
        <v>5</v>
      </c>
      <c r="P52" s="135">
        <f t="shared" si="6"/>
        <v>0</v>
      </c>
      <c r="Q52" s="135">
        <f t="shared" si="7"/>
        <v>0</v>
      </c>
      <c r="R52" s="135">
        <f t="shared" si="8"/>
        <v>0</v>
      </c>
      <c r="S52" s="135">
        <f t="shared" si="9"/>
        <v>1</v>
      </c>
      <c r="T52" s="135">
        <f t="shared" si="10"/>
        <v>0</v>
      </c>
    </row>
    <row r="53" spans="1:20" customFormat="1" ht="14.4">
      <c r="A53" s="21" t="str">
        <f t="shared" si="4"/>
        <v>1</v>
      </c>
      <c r="B53" s="51"/>
      <c r="C53" s="51" t="s">
        <v>863</v>
      </c>
      <c r="D53" s="55" t="s">
        <v>864</v>
      </c>
      <c r="E53" s="50"/>
      <c r="F53" s="50"/>
      <c r="G53" s="50"/>
      <c r="H53" s="324"/>
      <c r="I53" s="80"/>
      <c r="J53" s="169"/>
      <c r="K53" s="50" t="str">
        <f t="shared" si="2"/>
        <v/>
      </c>
      <c r="L53" s="81"/>
      <c r="M53" s="42" t="str">
        <f t="shared" si="5"/>
        <v/>
      </c>
      <c r="N53" s="50"/>
      <c r="O53" s="51"/>
      <c r="P53" s="135"/>
      <c r="Q53" s="135"/>
      <c r="R53" s="135"/>
      <c r="S53" s="135"/>
      <c r="T53" s="135"/>
    </row>
    <row r="54" spans="1:20" customFormat="1" ht="14.4">
      <c r="A54" s="53" t="str">
        <f t="shared" si="4"/>
        <v>1</v>
      </c>
      <c r="B54" s="51" t="s">
        <v>75</v>
      </c>
      <c r="C54" s="51" t="s">
        <v>865</v>
      </c>
      <c r="D54" s="55" t="s">
        <v>866</v>
      </c>
      <c r="E54" s="50" t="s">
        <v>867</v>
      </c>
      <c r="F54" s="50" t="s">
        <v>95</v>
      </c>
      <c r="G54" s="95"/>
      <c r="H54" s="100"/>
      <c r="I54" s="80" t="str">
        <f t="shared" si="11"/>
        <v>---</v>
      </c>
      <c r="J54" s="169" t="str">
        <f t="shared" ref="J54:J57" si="13">IF(B54="","",IF(B54="A-Kriterium","---",O54))</f>
        <v>---</v>
      </c>
      <c r="K54" s="50" t="str">
        <f t="shared" si="2"/>
        <v>---</v>
      </c>
      <c r="L54" s="81" t="str">
        <f t="shared" si="3"/>
        <v>---</v>
      </c>
      <c r="M54" s="42" t="str">
        <f t="shared" si="5"/>
        <v>offen</v>
      </c>
      <c r="N54" s="50"/>
      <c r="O54" s="44"/>
      <c r="P54" s="135">
        <f t="shared" si="6"/>
        <v>1</v>
      </c>
      <c r="Q54" s="135">
        <f t="shared" si="7"/>
        <v>0</v>
      </c>
      <c r="R54" s="135">
        <f t="shared" si="8"/>
        <v>0</v>
      </c>
      <c r="S54" s="135">
        <f t="shared" si="9"/>
        <v>0</v>
      </c>
      <c r="T54" s="135">
        <f t="shared" si="10"/>
        <v>0</v>
      </c>
    </row>
    <row r="55" spans="1:20" customFormat="1" ht="14.4">
      <c r="A55" s="21" t="str">
        <f t="shared" si="4"/>
        <v>1</v>
      </c>
      <c r="B55" s="51" t="s">
        <v>94</v>
      </c>
      <c r="C55" s="51" t="s">
        <v>868</v>
      </c>
      <c r="D55" s="313" t="s">
        <v>855</v>
      </c>
      <c r="E55" s="50" t="s">
        <v>867</v>
      </c>
      <c r="F55" s="50" t="s">
        <v>856</v>
      </c>
      <c r="G55" s="95"/>
      <c r="H55" s="100"/>
      <c r="I55" s="80">
        <f t="shared" si="11"/>
        <v>1</v>
      </c>
      <c r="J55" s="169">
        <f t="shared" si="13"/>
        <v>5</v>
      </c>
      <c r="K55" s="50">
        <f t="shared" si="2"/>
        <v>0</v>
      </c>
      <c r="L55" s="81">
        <f t="shared" si="3"/>
        <v>0</v>
      </c>
      <c r="M55" s="42" t="str">
        <f t="shared" si="5"/>
        <v>offen</v>
      </c>
      <c r="N55" s="50"/>
      <c r="O55" s="51">
        <v>5</v>
      </c>
      <c r="P55" s="135">
        <f t="shared" si="6"/>
        <v>0</v>
      </c>
      <c r="Q55" s="135">
        <f t="shared" si="7"/>
        <v>0</v>
      </c>
      <c r="R55" s="135">
        <f t="shared" si="8"/>
        <v>0</v>
      </c>
      <c r="S55" s="135">
        <f t="shared" si="9"/>
        <v>1</v>
      </c>
      <c r="T55" s="135">
        <f t="shared" si="10"/>
        <v>0</v>
      </c>
    </row>
    <row r="56" spans="1:20" customFormat="1" ht="14.4">
      <c r="A56" s="21"/>
      <c r="B56" s="51"/>
      <c r="C56" s="51" t="s">
        <v>869</v>
      </c>
      <c r="D56" s="55" t="s">
        <v>870</v>
      </c>
      <c r="E56" s="50"/>
      <c r="F56" s="50"/>
      <c r="G56" s="50"/>
      <c r="H56" s="324"/>
      <c r="I56" s="80"/>
      <c r="J56" s="169"/>
      <c r="K56" s="50" t="str">
        <f t="shared" si="2"/>
        <v/>
      </c>
      <c r="L56" s="81"/>
      <c r="M56" s="42" t="str">
        <f t="shared" si="5"/>
        <v/>
      </c>
      <c r="N56" s="50"/>
      <c r="O56" s="51"/>
      <c r="P56" s="135"/>
      <c r="Q56" s="135"/>
      <c r="R56" s="135"/>
      <c r="S56" s="135"/>
      <c r="T56" s="135"/>
    </row>
    <row r="57" spans="1:20" customFormat="1" ht="14.4">
      <c r="A57" s="53" t="str">
        <f t="shared" si="4"/>
        <v>1</v>
      </c>
      <c r="B57" s="51" t="s">
        <v>75</v>
      </c>
      <c r="C57" s="51" t="s">
        <v>871</v>
      </c>
      <c r="D57" s="55" t="s">
        <v>872</v>
      </c>
      <c r="E57" s="50" t="s">
        <v>873</v>
      </c>
      <c r="F57" s="50" t="s">
        <v>95</v>
      </c>
      <c r="G57" s="95"/>
      <c r="H57" s="100"/>
      <c r="I57" s="80" t="str">
        <f t="shared" ref="I57:I61" si="14">IF(B57="","",IF(B57="B-Kriterium",1,"---"))</f>
        <v>---</v>
      </c>
      <c r="J57" s="169" t="str">
        <f t="shared" si="13"/>
        <v>---</v>
      </c>
      <c r="K57" s="50" t="str">
        <f t="shared" si="2"/>
        <v>---</v>
      </c>
      <c r="L57" s="81" t="str">
        <f t="shared" ref="L57:L61" si="15">IF(B57="A-Kriterium","---",IF(B57="","",I57*K57))</f>
        <v>---</v>
      </c>
      <c r="M57" s="42" t="str">
        <f t="shared" si="5"/>
        <v>offen</v>
      </c>
      <c r="N57" s="50"/>
      <c r="O57" s="44"/>
      <c r="P57" s="135">
        <f t="shared" si="6"/>
        <v>1</v>
      </c>
      <c r="Q57" s="135">
        <f t="shared" si="7"/>
        <v>0</v>
      </c>
      <c r="R57" s="135">
        <f t="shared" si="8"/>
        <v>0</v>
      </c>
      <c r="S57" s="135">
        <f t="shared" si="9"/>
        <v>0</v>
      </c>
      <c r="T57" s="135">
        <f t="shared" si="10"/>
        <v>0</v>
      </c>
    </row>
    <row r="58" spans="1:20" customFormat="1" ht="14.4">
      <c r="A58" s="21" t="str">
        <f t="shared" si="4"/>
        <v>1</v>
      </c>
      <c r="B58" s="51" t="s">
        <v>94</v>
      </c>
      <c r="C58" s="51" t="s">
        <v>874</v>
      </c>
      <c r="D58" s="313" t="s">
        <v>855</v>
      </c>
      <c r="E58" s="50" t="s">
        <v>873</v>
      </c>
      <c r="F58" s="50" t="s">
        <v>856</v>
      </c>
      <c r="G58" s="95"/>
      <c r="H58" s="100"/>
      <c r="I58" s="80">
        <f t="shared" si="14"/>
        <v>1</v>
      </c>
      <c r="J58" s="169">
        <f>IF(B58="","",IF(B58="A-Kriterium","---",O58))</f>
        <v>5</v>
      </c>
      <c r="K58" s="50">
        <f t="shared" si="2"/>
        <v>0</v>
      </c>
      <c r="L58" s="81">
        <f t="shared" si="15"/>
        <v>0</v>
      </c>
      <c r="M58" s="42" t="str">
        <f t="shared" si="5"/>
        <v>offen</v>
      </c>
      <c r="N58" s="50"/>
      <c r="O58" s="51">
        <v>5</v>
      </c>
      <c r="P58" s="135">
        <f t="shared" si="6"/>
        <v>0</v>
      </c>
      <c r="Q58" s="135">
        <f t="shared" si="7"/>
        <v>0</v>
      </c>
      <c r="R58" s="135">
        <f t="shared" si="8"/>
        <v>0</v>
      </c>
      <c r="S58" s="135">
        <f t="shared" si="9"/>
        <v>1</v>
      </c>
      <c r="T58" s="135">
        <f t="shared" si="10"/>
        <v>0</v>
      </c>
    </row>
    <row r="59" spans="1:20" customFormat="1" ht="14.4">
      <c r="A59" s="21"/>
      <c r="B59" s="51"/>
      <c r="C59" s="51" t="s">
        <v>875</v>
      </c>
      <c r="D59" s="55" t="s">
        <v>876</v>
      </c>
      <c r="E59" s="50"/>
      <c r="F59" s="50"/>
      <c r="G59" s="50"/>
      <c r="H59" s="324"/>
      <c r="I59" s="80"/>
      <c r="J59" s="169"/>
      <c r="K59" s="50" t="str">
        <f t="shared" si="2"/>
        <v/>
      </c>
      <c r="L59" s="81"/>
      <c r="M59" s="42" t="str">
        <f t="shared" si="5"/>
        <v/>
      </c>
      <c r="N59" s="50"/>
      <c r="O59" s="51"/>
      <c r="P59" s="135"/>
      <c r="Q59" s="135"/>
      <c r="R59" s="135"/>
      <c r="S59" s="135"/>
      <c r="T59" s="135"/>
    </row>
    <row r="60" spans="1:20" customFormat="1" ht="14.4">
      <c r="A60" s="53" t="str">
        <f t="shared" si="4"/>
        <v>1</v>
      </c>
      <c r="B60" s="51" t="s">
        <v>75</v>
      </c>
      <c r="C60" s="51" t="s">
        <v>877</v>
      </c>
      <c r="D60" s="55" t="s">
        <v>878</v>
      </c>
      <c r="E60" s="50" t="s">
        <v>879</v>
      </c>
      <c r="F60" s="50" t="s">
        <v>95</v>
      </c>
      <c r="G60" s="95"/>
      <c r="H60" s="100"/>
      <c r="I60" s="80" t="str">
        <f t="shared" si="14"/>
        <v>---</v>
      </c>
      <c r="J60" s="169" t="str">
        <f t="shared" ref="J60:J61" si="16">IF(B60="","",IF(B60="A-Kriterium","---",O60))</f>
        <v>---</v>
      </c>
      <c r="K60" s="50" t="str">
        <f t="shared" si="2"/>
        <v>---</v>
      </c>
      <c r="L60" s="81" t="str">
        <f t="shared" si="15"/>
        <v>---</v>
      </c>
      <c r="M60" s="42" t="str">
        <f t="shared" si="5"/>
        <v>offen</v>
      </c>
      <c r="N60" s="50"/>
      <c r="O60" s="44"/>
      <c r="P60" s="135">
        <f t="shared" si="6"/>
        <v>1</v>
      </c>
      <c r="Q60" s="135">
        <f t="shared" si="7"/>
        <v>0</v>
      </c>
      <c r="R60" s="135">
        <f t="shared" si="8"/>
        <v>0</v>
      </c>
      <c r="S60" s="135">
        <f t="shared" si="9"/>
        <v>0</v>
      </c>
      <c r="T60" s="135">
        <f t="shared" si="10"/>
        <v>0</v>
      </c>
    </row>
    <row r="61" spans="1:20" customFormat="1" ht="14.4">
      <c r="A61" s="21" t="str">
        <f t="shared" si="4"/>
        <v>1</v>
      </c>
      <c r="B61" s="51" t="s">
        <v>94</v>
      </c>
      <c r="C61" s="51" t="s">
        <v>880</v>
      </c>
      <c r="D61" s="313" t="s">
        <v>855</v>
      </c>
      <c r="E61" s="50" t="s">
        <v>879</v>
      </c>
      <c r="F61" s="50" t="s">
        <v>856</v>
      </c>
      <c r="G61" s="95"/>
      <c r="H61" s="100"/>
      <c r="I61" s="80">
        <f t="shared" si="14"/>
        <v>1</v>
      </c>
      <c r="J61" s="169">
        <f t="shared" si="16"/>
        <v>5</v>
      </c>
      <c r="K61" s="50">
        <f t="shared" si="2"/>
        <v>0</v>
      </c>
      <c r="L61" s="81">
        <f t="shared" si="15"/>
        <v>0</v>
      </c>
      <c r="M61" s="42" t="str">
        <f t="shared" si="5"/>
        <v>offen</v>
      </c>
      <c r="N61" s="50"/>
      <c r="O61" s="51">
        <v>5</v>
      </c>
      <c r="P61" s="135">
        <f t="shared" si="6"/>
        <v>0</v>
      </c>
      <c r="Q61" s="135">
        <f t="shared" si="7"/>
        <v>0</v>
      </c>
      <c r="R61" s="135">
        <f t="shared" si="8"/>
        <v>0</v>
      </c>
      <c r="S61" s="135">
        <f t="shared" si="9"/>
        <v>1</v>
      </c>
      <c r="T61" s="135">
        <f t="shared" si="10"/>
        <v>0</v>
      </c>
    </row>
    <row r="62" spans="1:20" customFormat="1" ht="14.4">
      <c r="A62" s="21"/>
      <c r="B62" s="51"/>
      <c r="C62" s="51" t="s">
        <v>881</v>
      </c>
      <c r="D62" s="148" t="s">
        <v>882</v>
      </c>
      <c r="E62" s="50"/>
      <c r="F62" s="50"/>
      <c r="G62" s="50"/>
      <c r="H62" s="324"/>
      <c r="I62" s="80"/>
      <c r="J62" s="169"/>
      <c r="K62" s="50" t="str">
        <f t="shared" si="2"/>
        <v/>
      </c>
      <c r="L62" s="81"/>
      <c r="M62" s="42" t="str">
        <f t="shared" si="5"/>
        <v/>
      </c>
      <c r="N62" s="50"/>
      <c r="O62" s="51"/>
      <c r="P62" s="135"/>
      <c r="Q62" s="135"/>
      <c r="R62" s="135"/>
      <c r="S62" s="135"/>
      <c r="T62" s="135"/>
    </row>
    <row r="63" spans="1:20" s="156" customFormat="1" ht="14.4">
      <c r="A63" s="53" t="str">
        <f t="shared" si="4"/>
        <v>1</v>
      </c>
      <c r="B63" s="51" t="s">
        <v>75</v>
      </c>
      <c r="C63" s="51" t="s">
        <v>883</v>
      </c>
      <c r="D63" s="148" t="s">
        <v>884</v>
      </c>
      <c r="E63" s="50" t="s">
        <v>885</v>
      </c>
      <c r="F63" s="50" t="s">
        <v>95</v>
      </c>
      <c r="G63" s="95"/>
      <c r="H63" s="152"/>
      <c r="I63" s="153" t="str">
        <f t="shared" ref="I63:I64" si="17">IF(B63="","",IF(B63="B-Kriterium",1,"---"))</f>
        <v>---</v>
      </c>
      <c r="J63" s="170" t="str">
        <f t="shared" ref="J63:J64" si="18">IF(B63="","",IF(B63="A-Kriterium","---",O63))</f>
        <v>---</v>
      </c>
      <c r="K63" s="50" t="str">
        <f t="shared" si="2"/>
        <v>---</v>
      </c>
      <c r="L63" s="154" t="str">
        <f t="shared" ref="L63:L64" si="19">IF(B63="A-Kriterium","---",IF(B63="","",I63*K63))</f>
        <v>---</v>
      </c>
      <c r="M63" s="42" t="str">
        <f t="shared" si="5"/>
        <v>offen</v>
      </c>
      <c r="N63" s="328"/>
      <c r="O63" s="155"/>
      <c r="P63" s="135">
        <f t="shared" si="6"/>
        <v>1</v>
      </c>
      <c r="Q63" s="135">
        <f t="shared" si="7"/>
        <v>0</v>
      </c>
      <c r="R63" s="135">
        <f t="shared" si="8"/>
        <v>0</v>
      </c>
      <c r="S63" s="135">
        <f t="shared" si="9"/>
        <v>0</v>
      </c>
      <c r="T63" s="135">
        <f t="shared" si="10"/>
        <v>0</v>
      </c>
    </row>
    <row r="64" spans="1:20" customFormat="1" ht="15.75" customHeight="1">
      <c r="A64" s="53" t="str">
        <f t="shared" si="4"/>
        <v>1</v>
      </c>
      <c r="B64" s="51" t="s">
        <v>94</v>
      </c>
      <c r="C64" s="51" t="s">
        <v>886</v>
      </c>
      <c r="D64" s="313" t="s">
        <v>855</v>
      </c>
      <c r="E64" s="50" t="s">
        <v>885</v>
      </c>
      <c r="F64" s="50" t="s">
        <v>856</v>
      </c>
      <c r="G64" s="95"/>
      <c r="H64" s="100"/>
      <c r="I64" s="80">
        <f t="shared" si="17"/>
        <v>1</v>
      </c>
      <c r="J64" s="169">
        <f t="shared" si="18"/>
        <v>5</v>
      </c>
      <c r="K64" s="50">
        <f t="shared" si="2"/>
        <v>0</v>
      </c>
      <c r="L64" s="81">
        <f t="shared" si="19"/>
        <v>0</v>
      </c>
      <c r="M64" s="42" t="str">
        <f t="shared" si="5"/>
        <v>offen</v>
      </c>
      <c r="N64" s="50"/>
      <c r="O64" s="51">
        <v>5</v>
      </c>
      <c r="P64" s="135">
        <f t="shared" si="6"/>
        <v>0</v>
      </c>
      <c r="Q64" s="135">
        <f t="shared" si="7"/>
        <v>0</v>
      </c>
      <c r="R64" s="135">
        <f t="shared" si="8"/>
        <v>0</v>
      </c>
      <c r="S64" s="135">
        <f>IF(AND($F64="Auftraggeber/in",$B64="B-Kriterium",$M64=S$46),1,0)</f>
        <v>1</v>
      </c>
      <c r="T64" s="135">
        <f t="shared" si="10"/>
        <v>0</v>
      </c>
    </row>
    <row r="65" spans="1:20" customFormat="1" ht="15" customHeight="1">
      <c r="A65" s="53" t="str">
        <f t="shared" si="4"/>
        <v>1</v>
      </c>
      <c r="B65" s="51"/>
      <c r="C65" s="51" t="s">
        <v>887</v>
      </c>
      <c r="D65" s="151" t="s">
        <v>888</v>
      </c>
      <c r="E65" s="50"/>
      <c r="F65" s="50"/>
      <c r="G65" s="316"/>
      <c r="H65" s="317"/>
      <c r="I65" s="80" t="str">
        <f t="shared" ref="I65:I67" si="20">IF(B65="","",IF(B65="B-Kriterium",1,"---"))</f>
        <v/>
      </c>
      <c r="J65" s="169" t="str">
        <f t="shared" ref="J65:J67" si="21">IF(B65="","",IF(B65="A-Kriterium","---",O65))</f>
        <v/>
      </c>
      <c r="K65" s="50" t="str">
        <f t="shared" ref="K65:K67" si="22">IF($B65="A-Kriterium","---",IF(B65="","",IF(B65="B-Kriterium",G65,0)))</f>
        <v/>
      </c>
      <c r="L65" s="81" t="str">
        <f t="shared" ref="L65:L67" si="23">IF(B65="A-Kriterium","---",IF(B65="","",I65*K65))</f>
        <v/>
      </c>
      <c r="M65" s="42" t="str">
        <f t="shared" ref="M65:M67" si="24">IF(AND(ISBLANK(G65)=FALSE,B65="B-Kriterium"),"ok",IF($B65="","",IF(AND(B65="A-Kriterium",G65="ja"),"ok",IF(AND(B65="A-Kriterium",G65="nein"),"nok","offen"))))</f>
        <v/>
      </c>
      <c r="N65" s="50"/>
      <c r="O65" s="51"/>
      <c r="P65" s="135"/>
      <c r="Q65" s="135"/>
      <c r="R65" s="135"/>
      <c r="S65" s="135"/>
      <c r="T65" s="135"/>
    </row>
    <row r="66" spans="1:20" customFormat="1" ht="14.4">
      <c r="A66" s="53" t="str">
        <f t="shared" si="4"/>
        <v>1</v>
      </c>
      <c r="B66" s="51" t="s">
        <v>75</v>
      </c>
      <c r="C66" s="51" t="s">
        <v>889</v>
      </c>
      <c r="D66" s="148" t="s">
        <v>884</v>
      </c>
      <c r="E66" s="50" t="s">
        <v>890</v>
      </c>
      <c r="F66" s="50" t="s">
        <v>95</v>
      </c>
      <c r="G66" s="95"/>
      <c r="H66" s="100"/>
      <c r="I66" s="80" t="str">
        <f t="shared" si="20"/>
        <v>---</v>
      </c>
      <c r="J66" s="169" t="str">
        <f t="shared" si="21"/>
        <v>---</v>
      </c>
      <c r="K66" s="50" t="str">
        <f t="shared" si="22"/>
        <v>---</v>
      </c>
      <c r="L66" s="81" t="str">
        <f t="shared" si="23"/>
        <v>---</v>
      </c>
      <c r="M66" s="42" t="str">
        <f t="shared" si="24"/>
        <v>offen</v>
      </c>
      <c r="N66" s="50"/>
      <c r="O66" s="44"/>
      <c r="P66" s="135">
        <f t="shared" si="6"/>
        <v>1</v>
      </c>
      <c r="Q66" s="135">
        <f t="shared" si="7"/>
        <v>0</v>
      </c>
      <c r="R66" s="135">
        <f t="shared" si="8"/>
        <v>0</v>
      </c>
      <c r="S66" s="135">
        <f t="shared" ref="S66:S67" si="25">IF(AND($F66="Auftraggeber/in",$B66="B-Kriterium",$M66=S$46),1,0)</f>
        <v>0</v>
      </c>
      <c r="T66" s="135">
        <f t="shared" ref="T66:T67" si="26">IF(M66="nok",1,0)</f>
        <v>0</v>
      </c>
    </row>
    <row r="67" spans="1:20" customFormat="1" ht="14.4">
      <c r="A67" s="53" t="str">
        <f t="shared" si="4"/>
        <v>1</v>
      </c>
      <c r="B67" s="51" t="s">
        <v>94</v>
      </c>
      <c r="C67" s="51" t="s">
        <v>891</v>
      </c>
      <c r="D67" s="313" t="s">
        <v>855</v>
      </c>
      <c r="E67" s="50" t="s">
        <v>890</v>
      </c>
      <c r="F67" s="50" t="s">
        <v>856</v>
      </c>
      <c r="G67" s="95"/>
      <c r="H67" s="100"/>
      <c r="I67" s="80">
        <f t="shared" si="20"/>
        <v>1</v>
      </c>
      <c r="J67" s="169">
        <f t="shared" si="21"/>
        <v>5</v>
      </c>
      <c r="K67" s="50">
        <f t="shared" si="22"/>
        <v>0</v>
      </c>
      <c r="L67" s="81">
        <f t="shared" si="23"/>
        <v>0</v>
      </c>
      <c r="M67" s="42" t="str">
        <f t="shared" si="24"/>
        <v>offen</v>
      </c>
      <c r="N67" s="50"/>
      <c r="O67" s="51">
        <v>5</v>
      </c>
      <c r="P67" s="135">
        <f t="shared" si="6"/>
        <v>0</v>
      </c>
      <c r="Q67" s="135">
        <f t="shared" si="7"/>
        <v>0</v>
      </c>
      <c r="R67" s="135">
        <f t="shared" si="8"/>
        <v>0</v>
      </c>
      <c r="S67" s="135">
        <f t="shared" si="25"/>
        <v>1</v>
      </c>
      <c r="T67" s="135">
        <f t="shared" si="26"/>
        <v>0</v>
      </c>
    </row>
    <row r="68" spans="1:20">
      <c r="D68" s="356"/>
    </row>
  </sheetData>
  <sheetProtection algorithmName="SHA-512" hashValue="Z6S7pQkXf4o/y03TGh0bXhAHftcsi2I/6U+CGwaZyoZ4seS1sW++pRweaUulkaDwDkh8IZafFl7g8Kne0M3JJw==" saltValue="mSKziZ6zulNPWXX3z6w2Og==" spinCount="100000" sheet="1" selectLockedCells="1" sort="0" autoFilter="0"/>
  <protectedRanges>
    <protectedRange sqref="A46:I46 L46:T46 A47:T67" name="AllowSortFilter"/>
    <protectedRange sqref="J46:K46" name="AllowSortFilter_1"/>
  </protectedRanges>
  <mergeCells count="32">
    <mergeCell ref="B36:M36"/>
    <mergeCell ref="B38:M38"/>
    <mergeCell ref="B40:M40"/>
    <mergeCell ref="B42:M42"/>
    <mergeCell ref="B44:M44"/>
    <mergeCell ref="B34:M34"/>
    <mergeCell ref="B2:F2"/>
    <mergeCell ref="B3:E3"/>
    <mergeCell ref="F3:I3"/>
    <mergeCell ref="J3:M3"/>
    <mergeCell ref="B32:M32"/>
    <mergeCell ref="B9:M9"/>
    <mergeCell ref="B12:M12"/>
    <mergeCell ref="B15:M15"/>
    <mergeCell ref="B18:M18"/>
    <mergeCell ref="B21:M21"/>
    <mergeCell ref="B24:M24"/>
    <mergeCell ref="B27:M27"/>
    <mergeCell ref="C10:M10"/>
    <mergeCell ref="C11:M11"/>
    <mergeCell ref="C19:M19"/>
    <mergeCell ref="C20:M20"/>
    <mergeCell ref="C14:M14"/>
    <mergeCell ref="C13:M13"/>
    <mergeCell ref="C16:M16"/>
    <mergeCell ref="C17:M17"/>
    <mergeCell ref="C28:M28"/>
    <mergeCell ref="C29:M29"/>
    <mergeCell ref="C25:L25"/>
    <mergeCell ref="C22:M22"/>
    <mergeCell ref="C23:M23"/>
    <mergeCell ref="C26:M26"/>
  </mergeCells>
  <conditionalFormatting sqref="A47:A67">
    <cfRule type="expression" dxfId="25" priority="6">
      <formula>$A47="1"</formula>
    </cfRule>
  </conditionalFormatting>
  <conditionalFormatting sqref="B47:O47 K48:O64 N64:O65 I65:O67 B48:J48 B49:C49 E49:J49 B50:J51 B52:C52 E52:J52 B53:J54 B55:C55 E55:J55 B56:J57 B58:C58 E58:J58 B59:J60 B61:C61 E61:J61 B62:J62 D63:J63 B63:C65 E64:F64 H64:J64 G64:G67 D65:F65 B66:F66 B67:C67 E67:F67">
    <cfRule type="expression" dxfId="24" priority="10">
      <formula>IF($C47="",0,1)+IF($B47="",0,1)=1</formula>
    </cfRule>
  </conditionalFormatting>
  <conditionalFormatting sqref="G47:H67">
    <cfRule type="expression" dxfId="23" priority="3">
      <formula>$B47="B-Kriterium"</formula>
    </cfRule>
    <cfRule type="expression" dxfId="22" priority="4">
      <formula>$B47="A-Kriterium"</formula>
    </cfRule>
  </conditionalFormatting>
  <conditionalFormatting sqref="H65:H67">
    <cfRule type="expression" dxfId="21" priority="5">
      <formula>IF($C65="",0,1)+IF($B65="",0,1)=1</formula>
    </cfRule>
  </conditionalFormatting>
  <conditionalFormatting sqref="M47:O67">
    <cfRule type="cellIs" dxfId="20" priority="7" operator="equal">
      <formula>"offen"</formula>
    </cfRule>
    <cfRule type="cellIs" dxfId="19" priority="8" operator="equal">
      <formula>"ok"</formula>
    </cfRule>
    <cfRule type="cellIs" dxfId="18" priority="9" operator="equal">
      <formula>"nok"</formula>
    </cfRule>
  </conditionalFormatting>
  <conditionalFormatting sqref="O1:O7 O9:O30 O45:O1048576">
    <cfRule type="expression" dxfId="17" priority="2">
      <formula>$B1="B-Kriterium"</formula>
    </cfRule>
  </conditionalFormatting>
  <dataValidations count="3">
    <dataValidation type="list" allowBlank="1" showInputMessage="1" showErrorMessage="1" sqref="G49 G61 G52 G55 G58 G64 G67" xr:uid="{B463E237-A283-4860-8242-ADA99DBCC189}">
      <formula1>"1,2,3,4,5"</formula1>
    </dataValidation>
    <dataValidation type="list" allowBlank="1" showInputMessage="1" showErrorMessage="1" sqref="G48 G50:G51 G53:G54 G56:G57 G59:G60 G62:G63 G65:G66" xr:uid="{9C5AFA11-AF72-4692-934D-26A5612B337A}">
      <formula1>"ja,nein"</formula1>
    </dataValidation>
    <dataValidation type="list" allowBlank="1" showInputMessage="1" showErrorMessage="1" sqref="G47" xr:uid="{C8AD1BE3-CA2D-4D59-B18B-4FCEB92DB048}">
      <formula1>IF(O47="","",INDIRECT("tab_wertebereich_inhalt["&amp;O47&amp;"]"))</formula1>
    </dataValidation>
  </dataValidations>
  <pageMargins left="0.7" right="0.7" top="0.78740157499999996" bottom="0.78740157499999996" header="0.3" footer="0.3"/>
  <pageSetup paperSize="9" orientation="portrait" horizontalDpi="4294967293"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A7200-CF05-4FAB-877D-6F2B0C50270D}">
  <sheetPr>
    <tabColor rgb="FF1D466E"/>
  </sheetPr>
  <dimension ref="A1:U135"/>
  <sheetViews>
    <sheetView showGridLines="0" zoomScale="90" zoomScaleNormal="90" workbookViewId="0">
      <pane ySplit="8" topLeftCell="A43" activePane="bottomLeft" state="frozen"/>
      <selection pane="bottomLeft" activeCell="G41" sqref="G41:G63"/>
    </sheetView>
  </sheetViews>
  <sheetFormatPr baseColWidth="10" defaultColWidth="10.44140625" defaultRowHeight="14.4" outlineLevelCol="1"/>
  <cols>
    <col min="1" max="1" width="10.44140625" style="53"/>
    <col min="2" max="3" width="10.44140625" style="44"/>
    <col min="4" max="4" width="91.44140625" style="10" customWidth="1"/>
    <col min="5" max="5" width="18" style="42" bestFit="1" customWidth="1"/>
    <col min="6" max="6" width="18.44140625" style="42" customWidth="1"/>
    <col min="7" max="7" width="43.44140625" style="301" customWidth="1"/>
    <col min="8" max="8" width="24" style="42" customWidth="1"/>
    <col min="9" max="9" width="11.44140625" style="136" bestFit="1" customWidth="1"/>
    <col min="10" max="10" width="11.44140625" style="302" customWidth="1"/>
    <col min="11" max="11" width="10.44140625" style="44"/>
    <col min="12" max="12" width="10.44140625" style="136"/>
    <col min="13" max="13" width="10.44140625" style="44"/>
    <col min="14" max="14" width="4.44140625" style="44" customWidth="1"/>
    <col min="15" max="15" width="7.6640625" style="44" hidden="1" customWidth="1" outlineLevel="1"/>
    <col min="16" max="19" width="10.44140625" style="52" hidden="1" customWidth="1" outlineLevel="1"/>
    <col min="20" max="20" width="3.6640625" style="52" hidden="1" customWidth="1" outlineLevel="1"/>
    <col min="21" max="21" width="10.44140625" collapsed="1"/>
    <col min="22" max="16384" width="10.44140625" style="44"/>
  </cols>
  <sheetData>
    <row r="1" spans="1:21" s="15" customFormat="1" ht="97.5" customHeight="1">
      <c r="A1" s="21"/>
      <c r="B1" s="13"/>
      <c r="C1" s="13"/>
      <c r="D1" s="43"/>
      <c r="E1" s="13"/>
      <c r="F1" s="13"/>
      <c r="G1" s="45"/>
      <c r="H1" s="13"/>
      <c r="I1" s="13"/>
      <c r="J1" s="259"/>
      <c r="K1" s="13"/>
      <c r="L1" s="13"/>
      <c r="M1" s="13"/>
      <c r="N1" s="13"/>
      <c r="O1" s="14"/>
      <c r="P1" s="14"/>
      <c r="Q1" s="14"/>
      <c r="R1" s="14"/>
      <c r="S1" s="14"/>
      <c r="T1" s="14"/>
    </row>
    <row r="2" spans="1:21" s="15" customFormat="1" ht="18" customHeight="1">
      <c r="A2" s="23"/>
      <c r="B2" s="4" t="str">
        <f>CONCATENATE("Bewertung der Präsentation von ",'Allg. Bieterangaben'!E17," im Vergabeverfahren ","'",'Allg. Bieterangaben'!E13,"'")</f>
        <v>Bewertung der Präsentation von  im Vergabeverfahren 'Entlassmanagement: Digitales Entlass- und Überleitungsmanagement'</v>
      </c>
      <c r="C2" s="4"/>
      <c r="D2" s="4"/>
      <c r="E2" s="4"/>
      <c r="F2" s="16"/>
      <c r="G2" s="16"/>
      <c r="H2" s="16"/>
      <c r="I2" s="24"/>
      <c r="J2" s="260"/>
      <c r="K2" s="12"/>
      <c r="L2" s="24"/>
      <c r="M2" s="12"/>
      <c r="N2" s="12"/>
      <c r="O2" s="14"/>
      <c r="P2" s="14"/>
      <c r="Q2" s="14"/>
      <c r="R2" s="14"/>
      <c r="S2" s="14"/>
      <c r="T2" s="14"/>
    </row>
    <row r="3" spans="1:21" s="15" customFormat="1" ht="38.25" customHeight="1">
      <c r="A3" s="23"/>
      <c r="B3" s="369"/>
      <c r="C3" s="369"/>
      <c r="D3" s="369"/>
      <c r="E3" s="369"/>
      <c r="F3" s="369"/>
      <c r="G3" s="138"/>
      <c r="H3" s="16"/>
      <c r="I3" s="24"/>
      <c r="J3" s="260"/>
      <c r="K3" s="12"/>
      <c r="L3" s="24"/>
      <c r="M3" s="12"/>
      <c r="N3" s="12"/>
      <c r="O3" s="14"/>
      <c r="P3" s="14"/>
      <c r="Q3" s="14"/>
      <c r="R3" s="14"/>
      <c r="S3" s="14"/>
      <c r="T3" s="14"/>
    </row>
    <row r="4" spans="1:21" s="19" customFormat="1" ht="13.2">
      <c r="A4" s="25"/>
      <c r="B4" s="17"/>
      <c r="C4" s="17"/>
      <c r="D4" s="97"/>
      <c r="E4" s="18"/>
      <c r="F4" s="18"/>
      <c r="G4" s="139"/>
      <c r="H4" s="18"/>
      <c r="I4" s="26"/>
      <c r="J4" s="261"/>
      <c r="K4" s="17"/>
      <c r="L4" s="26"/>
      <c r="M4" s="17"/>
      <c r="N4" s="17"/>
      <c r="O4" s="27"/>
      <c r="P4" s="27"/>
      <c r="Q4" s="27"/>
      <c r="R4" s="27"/>
      <c r="S4" s="27"/>
      <c r="T4" s="27"/>
    </row>
    <row r="5" spans="1:21" s="15" customFormat="1" ht="14.7" customHeight="1">
      <c r="A5" s="25"/>
      <c r="B5" s="28" t="s">
        <v>229</v>
      </c>
      <c r="C5" s="29" t="str">
        <f>IF(AND(P37+R37=0,Q37+S37=0),"Es wurden alle Fragen beantwortet.",IF(AND(P37+R37=0,Q37+S37&gt;0),"Sie haben alle Fragen beantwortet. Es müssen noch "&amp;Q37+S37&amp;" Fragen durch die/den Auftragsgeber/in beantwortet werden.","Sie haben "&amp;P37+R37&amp;" Fragen noch nicht beantwortet. Bitte machen Sie Ihre Angaben in allen noch offenen von 'Bieter/in' auszufüllenden Feldern 'Auskunft' und optional 'Kommentar'."))</f>
        <v>Sie haben alle Fragen beantwortet. Es müssen noch 18 Fragen durch die/den Auftragsgeber/in beantwortet werden.</v>
      </c>
      <c r="D5" s="98"/>
      <c r="E5" s="30"/>
      <c r="F5" s="30"/>
      <c r="G5" s="140"/>
      <c r="H5" s="79"/>
      <c r="I5" s="31"/>
      <c r="J5" s="262"/>
      <c r="K5" s="32"/>
      <c r="L5" s="33"/>
      <c r="M5" s="32"/>
      <c r="N5" s="32"/>
      <c r="O5" s="34" t="s">
        <v>230</v>
      </c>
      <c r="P5" s="34"/>
      <c r="Q5" s="34"/>
      <c r="R5" s="34"/>
      <c r="S5" s="34"/>
      <c r="T5" s="34"/>
    </row>
    <row r="6" spans="1:21" s="15" customFormat="1" ht="14.7" customHeight="1">
      <c r="A6" s="25"/>
      <c r="B6" s="32"/>
      <c r="C6" s="29" t="str">
        <f>IF(AND($P$37=0,$Q$37=0,$T$37=0),"Sie erfüllen alle A-Kriterien und haben sich zur Teilnahme am weiteren Verfahren qualifiziert.",IF($T$37&gt;0,"Sie erfüllen "&amp;$T$37&amp;" A-Kriterien nicht und haben sich daher nicht zur Teilnahme am weiteren Verfahren qualifiziert.",IF($P$37&gt;0,"Bitte beantworten Sie alle offenen Fragen.","Für eine abschließende Bewertung der A-Kriterien müssen noch "&amp;$Q$37&amp;" Fragen durch die/den Auftargsgeber/in beantwortet werden.")))</f>
        <v>Sie erfüllen alle A-Kriterien und haben sich zur Teilnahme am weiteren Verfahren qualifiziert.</v>
      </c>
      <c r="D6" s="98"/>
      <c r="E6" s="30"/>
      <c r="F6" s="30"/>
      <c r="G6" s="140"/>
      <c r="H6" s="79"/>
      <c r="I6" s="31"/>
      <c r="J6" s="262"/>
      <c r="K6" s="32"/>
      <c r="L6" s="33"/>
      <c r="M6" s="32"/>
      <c r="N6" s="32"/>
      <c r="O6" s="14"/>
      <c r="P6" s="14"/>
      <c r="Q6" s="14"/>
      <c r="R6" s="14"/>
      <c r="S6" s="14"/>
      <c r="T6" s="14"/>
    </row>
    <row r="7" spans="1:21" s="15" customFormat="1" ht="13.2">
      <c r="A7" s="25"/>
      <c r="B7" s="32"/>
      <c r="C7" s="29" t="str">
        <f>IF(COUNTIF(B9:B63,"B-Kriterium")&gt;0,CONCATENATE("Es wurden ",COUNTIF(B9:B63,"B-Kriterium")-SUM(R37:S37)," von ",COUNTIF(B9:B63,"B-Kriterium")," B-Kriterien beantwortet und ",ROUND(SUM(L:L),2)," von möglichen ",SUM(J:J)," Punkten erreicht."),"")</f>
        <v>Es wurden 0 von 18 B-Kriterien beantwortet und 0 von möglichen 90 Punkten erreicht.</v>
      </c>
      <c r="D7" s="98"/>
      <c r="E7" s="30"/>
      <c r="F7" s="30"/>
      <c r="G7" s="140"/>
      <c r="H7" s="79"/>
      <c r="I7" s="31"/>
      <c r="J7" s="262"/>
      <c r="K7" s="32"/>
      <c r="L7" s="33"/>
      <c r="M7" s="32"/>
      <c r="N7" s="32"/>
      <c r="O7" s="14"/>
      <c r="P7" s="14"/>
      <c r="Q7" s="14"/>
      <c r="R7" s="14"/>
      <c r="S7" s="14"/>
      <c r="T7" s="14"/>
    </row>
    <row r="8" spans="1:21" s="15" customFormat="1" ht="13.2">
      <c r="A8" s="25"/>
      <c r="B8" s="32"/>
      <c r="C8" s="32"/>
      <c r="D8" s="75"/>
      <c r="E8" s="79"/>
      <c r="F8" s="79"/>
      <c r="G8" s="141"/>
      <c r="H8" s="79"/>
      <c r="I8" s="33"/>
      <c r="J8" s="263"/>
      <c r="K8" s="32"/>
      <c r="L8" s="33"/>
      <c r="M8" s="32"/>
      <c r="N8" s="32"/>
      <c r="O8" s="35"/>
    </row>
    <row r="9" spans="1:21" ht="14.7" customHeight="1">
      <c r="A9" s="264"/>
      <c r="B9" s="54" t="s">
        <v>892</v>
      </c>
      <c r="C9" s="56"/>
      <c r="D9" s="86"/>
      <c r="E9" s="86"/>
      <c r="F9" s="86"/>
      <c r="G9" s="86"/>
      <c r="H9" s="86"/>
      <c r="I9" s="86"/>
      <c r="J9" s="265"/>
      <c r="K9" s="86"/>
      <c r="L9" s="86"/>
      <c r="M9" s="86"/>
      <c r="N9" s="86"/>
      <c r="O9" s="86"/>
      <c r="U9" s="44"/>
    </row>
    <row r="10" spans="1:21" ht="15.75" customHeight="1">
      <c r="A10" s="264"/>
      <c r="B10" s="362" t="s">
        <v>893</v>
      </c>
      <c r="C10" s="362"/>
      <c r="D10" s="362"/>
      <c r="E10" s="362"/>
      <c r="F10" s="362"/>
      <c r="G10" s="362"/>
      <c r="H10" s="362"/>
      <c r="I10" s="362"/>
      <c r="J10" s="362"/>
      <c r="K10" s="362"/>
      <c r="L10" s="362"/>
      <c r="M10" s="362"/>
      <c r="N10" s="51"/>
      <c r="O10" s="52"/>
      <c r="U10" s="44"/>
    </row>
    <row r="11" spans="1:21" ht="13.2">
      <c r="A11" s="264"/>
      <c r="B11" s="205"/>
      <c r="C11" s="205"/>
      <c r="D11" s="205"/>
      <c r="E11" s="205"/>
      <c r="F11" s="205"/>
      <c r="G11" s="205"/>
      <c r="H11" s="205"/>
      <c r="I11" s="205"/>
      <c r="J11" s="266"/>
      <c r="K11" s="205"/>
      <c r="L11" s="205"/>
      <c r="M11" s="205"/>
      <c r="N11" s="51"/>
      <c r="O11" s="52"/>
      <c r="U11" s="44"/>
    </row>
    <row r="12" spans="1:21" ht="14.7" customHeight="1">
      <c r="A12" s="264"/>
      <c r="B12" s="380" t="s">
        <v>894</v>
      </c>
      <c r="C12" s="380"/>
      <c r="D12" s="380"/>
      <c r="E12" s="380"/>
      <c r="F12" s="380"/>
      <c r="G12" s="380"/>
      <c r="H12" s="380"/>
      <c r="I12" s="380"/>
      <c r="J12" s="380"/>
      <c r="K12" s="380"/>
      <c r="L12" s="380"/>
      <c r="M12" s="380"/>
      <c r="N12" s="51"/>
      <c r="O12" s="52"/>
      <c r="U12" s="44"/>
    </row>
    <row r="13" spans="1:21" ht="13.2">
      <c r="A13" s="264"/>
      <c r="B13" s="184" t="s">
        <v>895</v>
      </c>
      <c r="C13" s="268"/>
      <c r="D13" s="269"/>
      <c r="E13" s="270"/>
      <c r="F13" s="271"/>
      <c r="G13" s="270"/>
      <c r="H13" s="184"/>
      <c r="I13" s="270"/>
      <c r="J13" s="272"/>
      <c r="K13" s="184"/>
      <c r="L13" s="273"/>
      <c r="M13" s="184"/>
      <c r="N13" s="51"/>
      <c r="O13" s="52"/>
      <c r="U13" s="44"/>
    </row>
    <row r="14" spans="1:21" ht="13.2">
      <c r="A14" s="264"/>
      <c r="B14" s="274" t="s">
        <v>896</v>
      </c>
      <c r="C14" s="275"/>
      <c r="D14" s="276"/>
      <c r="E14" s="277"/>
      <c r="F14" s="278"/>
      <c r="G14" s="277"/>
      <c r="H14" s="274"/>
      <c r="I14" s="277"/>
      <c r="J14" s="279"/>
      <c r="K14" s="274"/>
      <c r="L14" s="280"/>
      <c r="M14" s="274"/>
      <c r="N14" s="51"/>
      <c r="O14" s="52"/>
      <c r="U14" s="44"/>
    </row>
    <row r="15" spans="1:21" ht="13.2">
      <c r="A15" s="264"/>
      <c r="B15" s="274" t="s">
        <v>897</v>
      </c>
      <c r="C15" s="275"/>
      <c r="D15" s="276"/>
      <c r="E15" s="277"/>
      <c r="F15" s="278"/>
      <c r="G15" s="277"/>
      <c r="H15" s="274"/>
      <c r="I15" s="277"/>
      <c r="J15" s="279"/>
      <c r="K15" s="274"/>
      <c r="L15" s="280"/>
      <c r="M15" s="274"/>
      <c r="N15" s="51"/>
      <c r="O15" s="52"/>
      <c r="U15" s="44"/>
    </row>
    <row r="16" spans="1:21" ht="13.2">
      <c r="A16" s="264"/>
      <c r="B16" s="274" t="s">
        <v>898</v>
      </c>
      <c r="C16" s="275"/>
      <c r="D16" s="276"/>
      <c r="E16" s="277"/>
      <c r="F16" s="278"/>
      <c r="G16" s="277"/>
      <c r="H16" s="274"/>
      <c r="I16" s="277"/>
      <c r="J16" s="279"/>
      <c r="K16" s="274"/>
      <c r="L16" s="280"/>
      <c r="M16" s="274"/>
      <c r="N16" s="51"/>
      <c r="O16" s="52"/>
      <c r="U16" s="44"/>
    </row>
    <row r="17" spans="1:21" ht="13.2">
      <c r="A17" s="264"/>
      <c r="B17" s="274" t="s">
        <v>899</v>
      </c>
      <c r="C17" s="275"/>
      <c r="D17" s="276"/>
      <c r="E17" s="277"/>
      <c r="F17" s="278"/>
      <c r="G17" s="277"/>
      <c r="H17" s="274"/>
      <c r="I17" s="277"/>
      <c r="J17" s="279"/>
      <c r="K17" s="274"/>
      <c r="L17" s="280"/>
      <c r="M17" s="274"/>
      <c r="N17" s="51"/>
      <c r="O17" s="52"/>
      <c r="U17" s="44"/>
    </row>
    <row r="18" spans="1:21" ht="13.2">
      <c r="A18" s="264"/>
      <c r="B18" s="380" t="s">
        <v>900</v>
      </c>
      <c r="C18" s="380"/>
      <c r="D18" s="380"/>
      <c r="E18" s="380"/>
      <c r="F18" s="380"/>
      <c r="G18" s="380"/>
      <c r="H18" s="380"/>
      <c r="I18" s="380"/>
      <c r="J18" s="380"/>
      <c r="K18" s="380"/>
      <c r="L18" s="380"/>
      <c r="M18" s="380"/>
      <c r="N18" s="51"/>
      <c r="O18" s="52"/>
      <c r="U18" s="44"/>
    </row>
    <row r="19" spans="1:21" ht="14.25" customHeight="1">
      <c r="A19" s="264"/>
      <c r="B19" s="380" t="s">
        <v>901</v>
      </c>
      <c r="C19" s="380"/>
      <c r="D19" s="380"/>
      <c r="E19" s="380"/>
      <c r="F19" s="380"/>
      <c r="G19" s="380"/>
      <c r="H19" s="380"/>
      <c r="I19" s="380"/>
      <c r="J19" s="380"/>
      <c r="K19" s="380"/>
      <c r="L19" s="380"/>
      <c r="M19" s="380"/>
      <c r="N19" s="51"/>
      <c r="O19" s="52"/>
      <c r="U19" s="44"/>
    </row>
    <row r="20" spans="1:21" ht="14.25" customHeight="1">
      <c r="A20" s="264"/>
      <c r="B20" s="380"/>
      <c r="C20" s="380"/>
      <c r="D20" s="380"/>
      <c r="E20" s="380"/>
      <c r="F20" s="380"/>
      <c r="G20" s="380"/>
      <c r="H20" s="380"/>
      <c r="I20" s="380"/>
      <c r="J20" s="380"/>
      <c r="K20" s="380"/>
      <c r="L20" s="380"/>
      <c r="M20" s="380"/>
      <c r="N20" s="51"/>
      <c r="O20" s="52"/>
      <c r="U20" s="44"/>
    </row>
    <row r="21" spans="1:21" ht="13.2">
      <c r="A21" s="264"/>
      <c r="B21" s="381" t="s">
        <v>902</v>
      </c>
      <c r="C21" s="381"/>
      <c r="D21" s="381"/>
      <c r="E21" s="381"/>
      <c r="F21" s="381"/>
      <c r="G21" s="381"/>
      <c r="H21" s="381"/>
      <c r="I21" s="381"/>
      <c r="J21" s="381"/>
      <c r="K21" s="381"/>
      <c r="L21" s="381"/>
      <c r="M21" s="381"/>
      <c r="N21" s="51"/>
      <c r="O21" s="52"/>
      <c r="U21" s="44"/>
    </row>
    <row r="22" spans="1:21" ht="13.2">
      <c r="A22" s="264"/>
      <c r="B22" s="362"/>
      <c r="C22" s="362"/>
      <c r="D22" s="362"/>
      <c r="E22" s="362"/>
      <c r="F22" s="362"/>
      <c r="G22" s="362"/>
      <c r="H22" s="362"/>
      <c r="I22" s="362"/>
      <c r="J22" s="362"/>
      <c r="K22" s="362"/>
      <c r="L22" s="362"/>
      <c r="M22" s="362"/>
      <c r="N22" s="51"/>
      <c r="O22" s="52"/>
      <c r="U22" s="44"/>
    </row>
    <row r="23" spans="1:21" ht="13.2">
      <c r="A23" s="264"/>
      <c r="B23" s="54" t="s">
        <v>903</v>
      </c>
      <c r="C23" s="56"/>
      <c r="D23" s="86"/>
      <c r="E23" s="86"/>
      <c r="F23" s="86"/>
      <c r="G23" s="86"/>
      <c r="H23" s="86"/>
      <c r="I23" s="86"/>
      <c r="J23" s="265"/>
      <c r="K23" s="86"/>
      <c r="L23" s="86"/>
      <c r="M23" s="86"/>
      <c r="N23" s="86"/>
      <c r="O23" s="86"/>
      <c r="U23" s="44"/>
    </row>
    <row r="24" spans="1:21" ht="13.2">
      <c r="A24" s="264"/>
      <c r="B24" s="367" t="s">
        <v>904</v>
      </c>
      <c r="C24" s="367"/>
      <c r="D24" s="367"/>
      <c r="E24" s="367"/>
      <c r="F24" s="367"/>
      <c r="G24" s="367"/>
      <c r="H24" s="367"/>
      <c r="I24" s="367"/>
      <c r="J24" s="367"/>
      <c r="K24" s="367"/>
      <c r="L24" s="367"/>
      <c r="M24" s="367"/>
      <c r="N24" s="51"/>
      <c r="O24" s="52"/>
      <c r="U24" s="44"/>
    </row>
    <row r="25" spans="1:21" ht="13.2">
      <c r="A25" s="264"/>
      <c r="B25" s="158"/>
      <c r="C25" s="158"/>
      <c r="D25" s="158"/>
      <c r="E25" s="158"/>
      <c r="F25" s="158"/>
      <c r="G25" s="158"/>
      <c r="H25" s="158"/>
      <c r="I25" s="158"/>
      <c r="J25" s="281"/>
      <c r="K25" s="158"/>
      <c r="L25" s="158"/>
      <c r="M25" s="158"/>
      <c r="N25" s="51"/>
      <c r="O25" s="52"/>
      <c r="U25" s="44"/>
    </row>
    <row r="26" spans="1:21" ht="13.2">
      <c r="A26" s="264"/>
      <c r="B26" s="51" t="s">
        <v>905</v>
      </c>
      <c r="C26" s="282"/>
      <c r="D26" s="283"/>
      <c r="E26" s="284"/>
      <c r="F26" s="285"/>
      <c r="G26" s="284"/>
      <c r="H26" s="50"/>
      <c r="I26" s="286"/>
      <c r="J26" s="287"/>
      <c r="K26" s="51"/>
      <c r="L26" s="288"/>
      <c r="M26" s="51"/>
      <c r="N26" s="51"/>
      <c r="O26" s="52"/>
      <c r="U26" s="44"/>
    </row>
    <row r="27" spans="1:21" ht="13.2">
      <c r="A27" s="264"/>
      <c r="B27" s="51"/>
      <c r="C27" s="282"/>
      <c r="D27" s="283"/>
      <c r="E27" s="284"/>
      <c r="F27" s="285"/>
      <c r="G27" s="284"/>
      <c r="H27" s="50"/>
      <c r="I27" s="286"/>
      <c r="J27" s="287"/>
      <c r="K27" s="51"/>
      <c r="L27" s="288"/>
      <c r="M27" s="51"/>
      <c r="N27" s="51"/>
      <c r="O27" s="52"/>
      <c r="U27" s="44"/>
    </row>
    <row r="28" spans="1:21" ht="28.95" customHeight="1">
      <c r="A28" s="264"/>
      <c r="B28" s="362" t="s">
        <v>906</v>
      </c>
      <c r="C28" s="362"/>
      <c r="D28" s="362"/>
      <c r="E28" s="362"/>
      <c r="F28" s="362"/>
      <c r="G28" s="362"/>
      <c r="H28" s="362"/>
      <c r="I28" s="362"/>
      <c r="J28" s="362"/>
      <c r="K28" s="362"/>
      <c r="L28" s="362"/>
      <c r="M28" s="362"/>
      <c r="N28" s="51"/>
      <c r="O28" s="52"/>
      <c r="U28" s="44"/>
    </row>
    <row r="29" spans="1:21" ht="13.2">
      <c r="A29" s="264"/>
      <c r="B29" s="55"/>
      <c r="C29" s="289"/>
      <c r="D29" s="283"/>
      <c r="E29" s="284"/>
      <c r="F29" s="284"/>
      <c r="G29" s="284"/>
      <c r="H29" s="290"/>
      <c r="I29" s="286"/>
      <c r="J29" s="287"/>
      <c r="K29" s="55"/>
      <c r="L29" s="291"/>
      <c r="M29" s="55"/>
      <c r="N29" s="51"/>
      <c r="O29" s="52"/>
      <c r="U29" s="44"/>
    </row>
    <row r="30" spans="1:21" ht="28.95" customHeight="1">
      <c r="A30" s="264"/>
      <c r="B30" s="362" t="s">
        <v>907</v>
      </c>
      <c r="C30" s="362"/>
      <c r="D30" s="362"/>
      <c r="E30" s="362"/>
      <c r="F30" s="362"/>
      <c r="G30" s="362"/>
      <c r="H30" s="362"/>
      <c r="I30" s="362"/>
      <c r="J30" s="362"/>
      <c r="K30" s="362"/>
      <c r="L30" s="362"/>
      <c r="M30" s="362"/>
      <c r="N30" s="51"/>
      <c r="O30" s="52"/>
      <c r="U30" s="44"/>
    </row>
    <row r="31" spans="1:21" ht="13.2">
      <c r="A31" s="264"/>
      <c r="B31" s="55"/>
      <c r="C31" s="289"/>
      <c r="D31" s="283"/>
      <c r="E31" s="284"/>
      <c r="F31" s="284"/>
      <c r="G31" s="284"/>
      <c r="H31" s="290"/>
      <c r="I31" s="286"/>
      <c r="J31" s="287"/>
      <c r="K31" s="55"/>
      <c r="L31" s="291"/>
      <c r="M31" s="55"/>
      <c r="N31" s="51"/>
      <c r="O31" s="52"/>
      <c r="U31" s="44"/>
    </row>
    <row r="32" spans="1:21" ht="28.95" customHeight="1">
      <c r="A32" s="264"/>
      <c r="B32" s="362" t="s">
        <v>908</v>
      </c>
      <c r="C32" s="362"/>
      <c r="D32" s="362"/>
      <c r="E32" s="362"/>
      <c r="F32" s="362"/>
      <c r="G32" s="362"/>
      <c r="H32" s="362"/>
      <c r="I32" s="362"/>
      <c r="J32" s="362"/>
      <c r="K32" s="362"/>
      <c r="L32" s="362"/>
      <c r="M32" s="362"/>
      <c r="N32" s="51"/>
      <c r="O32" s="52"/>
      <c r="U32" s="44"/>
    </row>
    <row r="33" spans="1:21" ht="13.2">
      <c r="A33" s="264"/>
      <c r="B33" s="55"/>
      <c r="C33" s="289"/>
      <c r="D33" s="283"/>
      <c r="E33" s="284"/>
      <c r="F33" s="284"/>
      <c r="G33" s="284"/>
      <c r="H33" s="290"/>
      <c r="I33" s="286"/>
      <c r="J33" s="287"/>
      <c r="K33" s="55"/>
      <c r="L33" s="291"/>
      <c r="M33" s="55"/>
      <c r="N33" s="51"/>
      <c r="O33" s="52"/>
      <c r="U33" s="44"/>
    </row>
    <row r="34" spans="1:21" ht="28.95" customHeight="1">
      <c r="A34" s="264"/>
      <c r="B34" s="362" t="s">
        <v>909</v>
      </c>
      <c r="C34" s="362"/>
      <c r="D34" s="362"/>
      <c r="E34" s="362"/>
      <c r="F34" s="362"/>
      <c r="G34" s="362"/>
      <c r="H34" s="362"/>
      <c r="I34" s="362"/>
      <c r="J34" s="362"/>
      <c r="K34" s="362"/>
      <c r="L34" s="362"/>
      <c r="M34" s="362"/>
      <c r="N34" s="51"/>
      <c r="O34" s="52"/>
      <c r="U34" s="44"/>
    </row>
    <row r="35" spans="1:21" ht="13.2">
      <c r="A35" s="264"/>
      <c r="B35" s="55"/>
      <c r="C35" s="289"/>
      <c r="D35" s="283"/>
      <c r="E35" s="284"/>
      <c r="F35" s="284"/>
      <c r="G35" s="284"/>
      <c r="H35" s="290"/>
      <c r="I35" s="286"/>
      <c r="J35" s="287"/>
      <c r="K35" s="55"/>
      <c r="L35" s="291"/>
      <c r="M35" s="55"/>
      <c r="N35" s="51"/>
      <c r="O35" s="52"/>
      <c r="U35" s="44"/>
    </row>
    <row r="36" spans="1:21" ht="28.95" customHeight="1">
      <c r="A36" s="264"/>
      <c r="B36" s="362" t="s">
        <v>910</v>
      </c>
      <c r="C36" s="362"/>
      <c r="D36" s="362"/>
      <c r="E36" s="362"/>
      <c r="F36" s="362"/>
      <c r="G36" s="362"/>
      <c r="H36" s="362"/>
      <c r="I36" s="362"/>
      <c r="J36" s="362"/>
      <c r="K36" s="362"/>
      <c r="L36" s="362"/>
      <c r="M36" s="362"/>
      <c r="N36" s="51"/>
      <c r="O36" s="52"/>
      <c r="U36" s="44"/>
    </row>
    <row r="37" spans="1:21" ht="13.2">
      <c r="A37" s="264"/>
      <c r="B37" s="51"/>
      <c r="C37" s="51"/>
      <c r="D37" s="55"/>
      <c r="E37" s="205"/>
      <c r="F37" s="50"/>
      <c r="G37" s="290"/>
      <c r="H37" s="50"/>
      <c r="I37" s="288"/>
      <c r="J37" s="292"/>
      <c r="K37" s="51"/>
      <c r="L37" s="288"/>
      <c r="M37" s="51"/>
      <c r="N37" s="51"/>
      <c r="O37" s="293"/>
      <c r="P37" s="14">
        <f>SUM(P38:P63)</f>
        <v>0</v>
      </c>
      <c r="Q37" s="14">
        <f>SUM(Q38:Q63)</f>
        <v>0</v>
      </c>
      <c r="R37" s="14">
        <f>SUM(R38:R63)</f>
        <v>0</v>
      </c>
      <c r="S37" s="14">
        <f>SUM(S38:S63)</f>
        <v>18</v>
      </c>
      <c r="T37" s="14">
        <f>SUM(T38:T63)</f>
        <v>0</v>
      </c>
      <c r="U37" s="44"/>
    </row>
    <row r="38" spans="1:21" ht="66">
      <c r="A38" s="264"/>
      <c r="B38" s="36" t="s">
        <v>231</v>
      </c>
      <c r="C38" s="37" t="s">
        <v>232</v>
      </c>
      <c r="D38" s="37" t="s">
        <v>233</v>
      </c>
      <c r="E38" s="294" t="s">
        <v>234</v>
      </c>
      <c r="F38" s="36" t="s">
        <v>18</v>
      </c>
      <c r="G38" s="36" t="s">
        <v>911</v>
      </c>
      <c r="H38" s="36" t="s">
        <v>235</v>
      </c>
      <c r="I38" s="38" t="s">
        <v>236</v>
      </c>
      <c r="J38" s="295" t="s">
        <v>237</v>
      </c>
      <c r="K38" s="36" t="s">
        <v>238</v>
      </c>
      <c r="L38" s="39" t="s">
        <v>239</v>
      </c>
      <c r="M38" s="36" t="s">
        <v>240</v>
      </c>
      <c r="N38" s="36"/>
      <c r="O38" s="296" t="s">
        <v>912</v>
      </c>
      <c r="P38" s="41" t="s">
        <v>241</v>
      </c>
      <c r="Q38" s="41" t="s">
        <v>241</v>
      </c>
      <c r="R38" s="41" t="s">
        <v>241</v>
      </c>
      <c r="S38" s="41" t="s">
        <v>241</v>
      </c>
      <c r="T38" s="41" t="s">
        <v>242</v>
      </c>
      <c r="U38" s="44"/>
    </row>
    <row r="39" spans="1:21" customFormat="1">
      <c r="A39" s="23"/>
      <c r="B39" s="51"/>
      <c r="C39" s="32" t="s">
        <v>913</v>
      </c>
      <c r="D39" s="75" t="s">
        <v>914</v>
      </c>
      <c r="E39" s="79"/>
      <c r="F39" s="79"/>
      <c r="G39" s="318"/>
      <c r="H39" s="319"/>
      <c r="I39" s="297"/>
      <c r="J39" s="298"/>
      <c r="K39" s="79"/>
      <c r="L39" s="299"/>
      <c r="M39" s="20"/>
      <c r="N39" s="20"/>
      <c r="O39" s="15"/>
      <c r="P39" s="300"/>
      <c r="Q39" s="300"/>
      <c r="R39" s="300"/>
      <c r="S39" s="300"/>
      <c r="T39" s="300"/>
    </row>
    <row r="40" spans="1:21" customFormat="1">
      <c r="A40" s="21"/>
      <c r="B40" s="51"/>
      <c r="C40" s="51" t="s">
        <v>915</v>
      </c>
      <c r="D40" s="55" t="s">
        <v>916</v>
      </c>
      <c r="E40" s="50"/>
      <c r="F40" s="50"/>
      <c r="G40" s="316"/>
      <c r="H40" s="317"/>
      <c r="I40" s="80" t="str">
        <f t="shared" ref="I40:I43" si="0">IF(B40="","",IF(B40="B-Kriterium",1,"---"))</f>
        <v/>
      </c>
      <c r="J40" s="169" t="str">
        <f t="shared" ref="J40:J43" si="1">IF(B40="","",IF(B40="A-Kriterium","---",O40))</f>
        <v/>
      </c>
      <c r="K40" s="50" t="str">
        <f t="shared" ref="K40" si="2">IF($B40="A-Kriterium","---",IF(B40="","",IF(AND(B40="B-Kriterium",G40="ja"),J40,0)))</f>
        <v/>
      </c>
      <c r="L40" s="81" t="str">
        <f t="shared" ref="L40:L43" si="3">IF(B40="A-Kriterium","---",IF(B40="","",I40*K40))</f>
        <v/>
      </c>
      <c r="M40" s="42" t="str">
        <f t="shared" ref="M40:M43" si="4">IF(AND(ISBLANK(G40)=FALSE,B40="B-Kriterium"),"ok",IF($B40="","",IF(AND(B40="A-Kriterium",G40="ja"),"ok",IF(AND(B40="A-Kriterium",G40="nein"),"nok","offen"))))</f>
        <v/>
      </c>
      <c r="N40" s="42"/>
      <c r="O40" s="44"/>
      <c r="P40" s="135"/>
      <c r="Q40" s="135"/>
      <c r="R40" s="135"/>
      <c r="S40" s="135"/>
      <c r="T40" s="135"/>
    </row>
    <row r="41" spans="1:21" customFormat="1">
      <c r="A41" s="21"/>
      <c r="B41" s="51" t="s">
        <v>94</v>
      </c>
      <c r="C41" s="51" t="s">
        <v>917</v>
      </c>
      <c r="D41" s="55" t="s">
        <v>918</v>
      </c>
      <c r="E41" s="50" t="s">
        <v>919</v>
      </c>
      <c r="F41" s="50" t="s">
        <v>856</v>
      </c>
      <c r="G41" s="95"/>
      <c r="H41" s="100"/>
      <c r="I41" s="80">
        <f t="shared" si="0"/>
        <v>1</v>
      </c>
      <c r="J41" s="169">
        <f t="shared" si="1"/>
        <v>5</v>
      </c>
      <c r="K41" s="50">
        <f>IF($B41="A-Kriterium","---",IF(B41="","",IF(B41="B-Kriterium",G41,0)))</f>
        <v>0</v>
      </c>
      <c r="L41" s="81">
        <f t="shared" si="3"/>
        <v>0</v>
      </c>
      <c r="M41" s="42" t="str">
        <f t="shared" si="4"/>
        <v>offen</v>
      </c>
      <c r="N41" s="50"/>
      <c r="O41" s="44">
        <v>5</v>
      </c>
      <c r="P41" s="135">
        <f t="shared" ref="P41:P47" si="5">IF(AND($F41="Bieter/in",$B41="A-Kriterium",$M41=P$38),1,0)</f>
        <v>0</v>
      </c>
      <c r="Q41" s="135">
        <f t="shared" ref="Q41:Q47" si="6">IF(AND($F41="Auftraggeber/in",$B41="A-Kriterium",$M41=Q$38),1,0)</f>
        <v>0</v>
      </c>
      <c r="R41" s="135">
        <f t="shared" ref="R41:R47" si="7">IF(AND($F41="Bieter/in",$B41="B-Kriterium",$M41=R$38),1,0)</f>
        <v>0</v>
      </c>
      <c r="S41" s="135">
        <f t="shared" ref="S41:S47" si="8">IF(AND($F41="Auftraggeber/in",$B41="B-Kriterium",$M41=S$38),1,0)</f>
        <v>1</v>
      </c>
      <c r="T41" s="135">
        <f t="shared" ref="T41:T59" si="9">IF(M41="nok",1,0)</f>
        <v>0</v>
      </c>
    </row>
    <row r="42" spans="1:21" customFormat="1">
      <c r="A42" s="21"/>
      <c r="B42" s="51" t="s">
        <v>94</v>
      </c>
      <c r="C42" s="51" t="s">
        <v>920</v>
      </c>
      <c r="D42" s="55" t="s">
        <v>921</v>
      </c>
      <c r="E42" s="50" t="s">
        <v>919</v>
      </c>
      <c r="F42" s="50" t="s">
        <v>856</v>
      </c>
      <c r="G42" s="95"/>
      <c r="H42" s="100"/>
      <c r="I42" s="80">
        <f t="shared" si="0"/>
        <v>1</v>
      </c>
      <c r="J42" s="169">
        <f t="shared" si="1"/>
        <v>5</v>
      </c>
      <c r="K42" s="50">
        <f t="shared" ref="K42:K63" si="10">IF($B42="A-Kriterium","---",IF(B42="","",IF(B42="B-Kriterium",G42,0)))</f>
        <v>0</v>
      </c>
      <c r="L42" s="81">
        <f t="shared" si="3"/>
        <v>0</v>
      </c>
      <c r="M42" s="42" t="str">
        <f t="shared" si="4"/>
        <v>offen</v>
      </c>
      <c r="N42" s="50"/>
      <c r="O42" s="44">
        <v>5</v>
      </c>
      <c r="P42" s="135">
        <f t="shared" si="5"/>
        <v>0</v>
      </c>
      <c r="Q42" s="135">
        <f t="shared" si="6"/>
        <v>0</v>
      </c>
      <c r="R42" s="135">
        <f t="shared" si="7"/>
        <v>0</v>
      </c>
      <c r="S42" s="135">
        <f t="shared" si="8"/>
        <v>1</v>
      </c>
      <c r="T42" s="135">
        <f t="shared" si="9"/>
        <v>0</v>
      </c>
    </row>
    <row r="43" spans="1:21" customFormat="1">
      <c r="A43" s="21"/>
      <c r="B43" s="51" t="s">
        <v>94</v>
      </c>
      <c r="C43" s="51" t="s">
        <v>922</v>
      </c>
      <c r="D43" s="55" t="s">
        <v>923</v>
      </c>
      <c r="E43" s="50" t="s">
        <v>919</v>
      </c>
      <c r="F43" s="50" t="s">
        <v>856</v>
      </c>
      <c r="G43" s="95"/>
      <c r="H43" s="100"/>
      <c r="I43" s="80">
        <f t="shared" si="0"/>
        <v>1</v>
      </c>
      <c r="J43" s="169">
        <f t="shared" si="1"/>
        <v>5</v>
      </c>
      <c r="K43" s="50">
        <f t="shared" si="10"/>
        <v>0</v>
      </c>
      <c r="L43" s="81">
        <f t="shared" si="3"/>
        <v>0</v>
      </c>
      <c r="M43" s="50" t="str">
        <f t="shared" si="4"/>
        <v>offen</v>
      </c>
      <c r="N43" s="50"/>
      <c r="O43" s="44">
        <v>5</v>
      </c>
      <c r="P43" s="135">
        <f t="shared" si="5"/>
        <v>0</v>
      </c>
      <c r="Q43" s="135">
        <f t="shared" si="6"/>
        <v>0</v>
      </c>
      <c r="R43" s="135">
        <f t="shared" si="7"/>
        <v>0</v>
      </c>
      <c r="S43" s="135">
        <f t="shared" si="8"/>
        <v>1</v>
      </c>
      <c r="T43" s="135">
        <f t="shared" si="9"/>
        <v>0</v>
      </c>
    </row>
    <row r="44" spans="1:21" customFormat="1">
      <c r="A44" s="21"/>
      <c r="B44" s="51"/>
      <c r="C44" s="51" t="s">
        <v>924</v>
      </c>
      <c r="D44" s="55" t="s">
        <v>925</v>
      </c>
      <c r="E44" s="50"/>
      <c r="F44" s="50"/>
      <c r="G44" s="316"/>
      <c r="H44" s="317"/>
      <c r="I44" s="80"/>
      <c r="J44" s="169"/>
      <c r="K44" s="50" t="str">
        <f t="shared" si="10"/>
        <v/>
      </c>
      <c r="L44" s="81"/>
      <c r="M44" s="42"/>
      <c r="N44" s="50"/>
      <c r="O44" s="44"/>
      <c r="P44" s="135"/>
      <c r="Q44" s="135"/>
      <c r="R44" s="135"/>
      <c r="S44" s="135"/>
      <c r="T44" s="135"/>
    </row>
    <row r="45" spans="1:21" customFormat="1">
      <c r="A45" s="21"/>
      <c r="B45" s="51" t="s">
        <v>94</v>
      </c>
      <c r="C45" s="51" t="s">
        <v>926</v>
      </c>
      <c r="D45" s="55" t="s">
        <v>927</v>
      </c>
      <c r="E45" s="50" t="s">
        <v>919</v>
      </c>
      <c r="F45" s="50" t="s">
        <v>856</v>
      </c>
      <c r="G45" s="95"/>
      <c r="H45" s="100"/>
      <c r="I45" s="80">
        <f t="shared" ref="I45:I53" si="11">IF(B45="","",IF(B45="B-Kriterium",1,"---"))</f>
        <v>1</v>
      </c>
      <c r="J45" s="169">
        <f t="shared" ref="J45:J53" si="12">IF(B45="","",IF(B45="A-Kriterium","---",O45))</f>
        <v>5</v>
      </c>
      <c r="K45" s="50">
        <f t="shared" si="10"/>
        <v>0</v>
      </c>
      <c r="L45" s="81">
        <f t="shared" ref="L45:L53" si="13">IF(B45="A-Kriterium","---",IF(B45="","",I45*K45))</f>
        <v>0</v>
      </c>
      <c r="M45" s="42" t="str">
        <f t="shared" ref="M45:M63" si="14">IF(AND(ISBLANK(G45)=FALSE,B45="B-Kriterium"),"ok",IF($B45="","",IF(AND(B45="A-Kriterium",G45="ja"),"ok",IF(AND(B45="A-Kriterium",G45="nein"),"nok","offen"))))</f>
        <v>offen</v>
      </c>
      <c r="N45" s="50"/>
      <c r="O45" s="44">
        <v>5</v>
      </c>
      <c r="P45" s="135">
        <f t="shared" si="5"/>
        <v>0</v>
      </c>
      <c r="Q45" s="135">
        <f t="shared" si="6"/>
        <v>0</v>
      </c>
      <c r="R45" s="135">
        <f t="shared" si="7"/>
        <v>0</v>
      </c>
      <c r="S45" s="135">
        <f t="shared" si="8"/>
        <v>1</v>
      </c>
      <c r="T45" s="135">
        <f t="shared" si="9"/>
        <v>0</v>
      </c>
    </row>
    <row r="46" spans="1:21" customFormat="1">
      <c r="A46" s="21"/>
      <c r="B46" s="51" t="s">
        <v>94</v>
      </c>
      <c r="C46" s="51" t="s">
        <v>928</v>
      </c>
      <c r="D46" s="55" t="s">
        <v>929</v>
      </c>
      <c r="E46" s="50" t="s">
        <v>919</v>
      </c>
      <c r="F46" s="50" t="s">
        <v>856</v>
      </c>
      <c r="G46" s="95"/>
      <c r="H46" s="100"/>
      <c r="I46" s="80">
        <f t="shared" si="11"/>
        <v>1</v>
      </c>
      <c r="J46" s="169">
        <f t="shared" si="12"/>
        <v>5</v>
      </c>
      <c r="K46" s="50">
        <f t="shared" si="10"/>
        <v>0</v>
      </c>
      <c r="L46" s="81">
        <f t="shared" si="13"/>
        <v>0</v>
      </c>
      <c r="M46" s="42" t="str">
        <f t="shared" si="14"/>
        <v>offen</v>
      </c>
      <c r="N46" s="50"/>
      <c r="O46" s="44">
        <v>5</v>
      </c>
      <c r="P46" s="135">
        <f t="shared" si="5"/>
        <v>0</v>
      </c>
      <c r="Q46" s="135">
        <f t="shared" si="6"/>
        <v>0</v>
      </c>
      <c r="R46" s="135">
        <f t="shared" si="7"/>
        <v>0</v>
      </c>
      <c r="S46" s="135">
        <f t="shared" si="8"/>
        <v>1</v>
      </c>
      <c r="T46" s="135">
        <f t="shared" si="9"/>
        <v>0</v>
      </c>
    </row>
    <row r="47" spans="1:21" customFormat="1">
      <c r="A47" s="21"/>
      <c r="B47" s="51" t="s">
        <v>94</v>
      </c>
      <c r="C47" s="51" t="s">
        <v>930</v>
      </c>
      <c r="D47" s="55" t="s">
        <v>931</v>
      </c>
      <c r="E47" s="50" t="s">
        <v>919</v>
      </c>
      <c r="F47" s="50" t="s">
        <v>856</v>
      </c>
      <c r="G47" s="95"/>
      <c r="H47" s="100"/>
      <c r="I47" s="80">
        <f t="shared" si="11"/>
        <v>1</v>
      </c>
      <c r="J47" s="169">
        <f t="shared" si="12"/>
        <v>5</v>
      </c>
      <c r="K47" s="50">
        <f t="shared" si="10"/>
        <v>0</v>
      </c>
      <c r="L47" s="81">
        <f t="shared" si="13"/>
        <v>0</v>
      </c>
      <c r="M47" s="50" t="str">
        <f t="shared" si="14"/>
        <v>offen</v>
      </c>
      <c r="N47" s="50"/>
      <c r="O47" s="44">
        <v>5</v>
      </c>
      <c r="P47" s="135">
        <f t="shared" si="5"/>
        <v>0</v>
      </c>
      <c r="Q47" s="135">
        <f t="shared" si="6"/>
        <v>0</v>
      </c>
      <c r="R47" s="135">
        <f t="shared" si="7"/>
        <v>0</v>
      </c>
      <c r="S47" s="135">
        <f t="shared" si="8"/>
        <v>1</v>
      </c>
      <c r="T47" s="135">
        <f t="shared" si="9"/>
        <v>0</v>
      </c>
    </row>
    <row r="48" spans="1:21" customFormat="1">
      <c r="A48" s="21"/>
      <c r="B48" s="51" t="s">
        <v>94</v>
      </c>
      <c r="C48" s="51" t="s">
        <v>932</v>
      </c>
      <c r="D48" s="55" t="s">
        <v>933</v>
      </c>
      <c r="E48" s="50" t="s">
        <v>919</v>
      </c>
      <c r="F48" s="50" t="s">
        <v>856</v>
      </c>
      <c r="G48" s="95"/>
      <c r="H48" s="100"/>
      <c r="I48" s="80">
        <f>IF(B48="","",IF(B48="B-Kriterium",1,"---"))</f>
        <v>1</v>
      </c>
      <c r="J48" s="169">
        <f>IF(B48="","",IF(B48="A-Kriterium","---",O48))</f>
        <v>5</v>
      </c>
      <c r="K48" s="50">
        <f t="shared" si="10"/>
        <v>0</v>
      </c>
      <c r="L48" s="81">
        <f>IF(B48="A-Kriterium","---",IF(B48="","",I48*K48))</f>
        <v>0</v>
      </c>
      <c r="M48" s="50" t="str">
        <f>IF(AND(ISBLANK(G48)=FALSE,B48="B-Kriterium"),"ok",IF($B48="","",IF(AND(B48="A-Kriterium",G48="ja"),"ok",IF(AND(B48="A-Kriterium",G48="nein"),"nok","offen"))))</f>
        <v>offen</v>
      </c>
      <c r="N48" s="50"/>
      <c r="O48" s="44">
        <v>5</v>
      </c>
      <c r="P48" s="135">
        <f>IF(AND($F48="Bieter/in",$B48="A-Kriterium",$M48=P$38),1,0)</f>
        <v>0</v>
      </c>
      <c r="Q48" s="135">
        <f>IF(AND($F48="Auftraggeber/in",$B48="A-Kriterium",$M48=Q$38),1,0)</f>
        <v>0</v>
      </c>
      <c r="R48" s="135">
        <f>IF(AND($F48="Bieter/in",$B48="B-Kriterium",$M48=R$38),1,0)</f>
        <v>0</v>
      </c>
      <c r="S48" s="135">
        <f>IF(AND($F48="Auftraggeber/in",$B48="B-Kriterium",$M48=S$38),1,0)</f>
        <v>1</v>
      </c>
      <c r="T48" s="135">
        <f>IF(M48="nok",1,0)</f>
        <v>0</v>
      </c>
    </row>
    <row r="49" spans="1:20" customFormat="1">
      <c r="A49" s="21"/>
      <c r="B49" s="51"/>
      <c r="C49" s="51" t="s">
        <v>934</v>
      </c>
      <c r="D49" s="55" t="s">
        <v>935</v>
      </c>
      <c r="E49" s="50"/>
      <c r="F49" s="50"/>
      <c r="G49" s="316"/>
      <c r="H49" s="317"/>
      <c r="I49" s="80" t="str">
        <f t="shared" si="11"/>
        <v/>
      </c>
      <c r="J49" s="169" t="str">
        <f t="shared" si="12"/>
        <v/>
      </c>
      <c r="K49" s="50" t="str">
        <f t="shared" si="10"/>
        <v/>
      </c>
      <c r="L49" s="81" t="str">
        <f t="shared" si="13"/>
        <v/>
      </c>
      <c r="M49" s="42" t="str">
        <f t="shared" si="14"/>
        <v/>
      </c>
      <c r="N49" s="50"/>
      <c r="O49" s="44"/>
      <c r="P49" s="135"/>
      <c r="Q49" s="135"/>
      <c r="R49" s="135"/>
      <c r="S49" s="135"/>
      <c r="T49" s="135"/>
    </row>
    <row r="50" spans="1:20" customFormat="1">
      <c r="A50" s="21"/>
      <c r="B50" s="51" t="s">
        <v>94</v>
      </c>
      <c r="C50" s="200" t="s">
        <v>936</v>
      </c>
      <c r="D50" s="55" t="s">
        <v>937</v>
      </c>
      <c r="E50" s="50" t="s">
        <v>919</v>
      </c>
      <c r="F50" s="50" t="s">
        <v>856</v>
      </c>
      <c r="G50" s="95"/>
      <c r="H50" s="100"/>
      <c r="I50" s="80">
        <f t="shared" si="11"/>
        <v>1</v>
      </c>
      <c r="J50" s="169">
        <f t="shared" si="12"/>
        <v>5</v>
      </c>
      <c r="K50" s="50">
        <f t="shared" si="10"/>
        <v>0</v>
      </c>
      <c r="L50" s="81">
        <f t="shared" si="13"/>
        <v>0</v>
      </c>
      <c r="M50" s="50" t="str">
        <f t="shared" si="14"/>
        <v>offen</v>
      </c>
      <c r="N50" s="50"/>
      <c r="O50" s="44">
        <v>5</v>
      </c>
      <c r="P50" s="135">
        <f>IF(AND($F50="Bieter/in",$B50="A-Kriterium",$M50=P$38),1,0)</f>
        <v>0</v>
      </c>
      <c r="Q50" s="135">
        <f>IF(AND($F50="Auftraggeber/in",$B50="A-Kriterium",$M50=Q$38),1,0)</f>
        <v>0</v>
      </c>
      <c r="R50" s="135">
        <f>IF(AND($F50="Bieter/in",$B50="B-Kriterium",$M50=R$38),1,0)</f>
        <v>0</v>
      </c>
      <c r="S50" s="135">
        <f>IF(AND($F50="Auftraggeber/in",$B50="B-Kriterium",$M50=S$38),1,0)</f>
        <v>1</v>
      </c>
      <c r="T50" s="135">
        <f t="shared" si="9"/>
        <v>0</v>
      </c>
    </row>
    <row r="51" spans="1:20" customFormat="1">
      <c r="A51" s="21"/>
      <c r="B51" s="51" t="s">
        <v>94</v>
      </c>
      <c r="C51" s="200" t="s">
        <v>938</v>
      </c>
      <c r="D51" s="55" t="s">
        <v>939</v>
      </c>
      <c r="E51" s="50" t="s">
        <v>919</v>
      </c>
      <c r="F51" s="50" t="s">
        <v>856</v>
      </c>
      <c r="G51" s="95"/>
      <c r="H51" s="100"/>
      <c r="I51" s="80">
        <f>IF(B51="","",IF(B51="B-Kriterium",1,"---"))</f>
        <v>1</v>
      </c>
      <c r="J51" s="169">
        <f>IF(B51="","",IF(B51="A-Kriterium","---",O51))</f>
        <v>5</v>
      </c>
      <c r="K51" s="50">
        <f t="shared" si="10"/>
        <v>0</v>
      </c>
      <c r="L51" s="81">
        <f>IF(B51="A-Kriterium","---",IF(B51="","",I51*K51))</f>
        <v>0</v>
      </c>
      <c r="M51" s="50" t="str">
        <f>IF(AND(ISBLANK(G51)=FALSE,B51="B-Kriterium"),"ok",IF($B51="","",IF(AND(B51="A-Kriterium",G51="ja"),"ok",IF(AND(B51="A-Kriterium",G51="nein"),"nok","offen"))))</f>
        <v>offen</v>
      </c>
      <c r="N51" s="50"/>
      <c r="O51" s="44">
        <v>5</v>
      </c>
      <c r="P51" s="135">
        <f>IF(AND($F51="Bieter/in",$B51="A-Kriterium",$M51=P$38),1,0)</f>
        <v>0</v>
      </c>
      <c r="Q51" s="135">
        <f>IF(AND($F51="Auftraggeber/in",$B51="A-Kriterium",$M51=Q$38),1,0)</f>
        <v>0</v>
      </c>
      <c r="R51" s="135">
        <f>IF(AND($F51="Bieter/in",$B51="B-Kriterium",$M51=R$38),1,0)</f>
        <v>0</v>
      </c>
      <c r="S51" s="135">
        <f>IF(AND($F51="Auftraggeber/in",$B51="B-Kriterium",$M51=S$38),1,0)</f>
        <v>1</v>
      </c>
      <c r="T51" s="135">
        <f>IF(M51="nok",1,0)</f>
        <v>0</v>
      </c>
    </row>
    <row r="52" spans="1:20" customFormat="1">
      <c r="A52" s="21"/>
      <c r="B52" s="51" t="s">
        <v>94</v>
      </c>
      <c r="C52" s="200" t="s">
        <v>940</v>
      </c>
      <c r="D52" s="55" t="s">
        <v>941</v>
      </c>
      <c r="E52" s="50" t="s">
        <v>919</v>
      </c>
      <c r="F52" s="50" t="s">
        <v>856</v>
      </c>
      <c r="G52" s="95"/>
      <c r="H52" s="100"/>
      <c r="I52" s="80">
        <f>IF(B52="","",IF(B52="B-Kriterium",1,"---"))</f>
        <v>1</v>
      </c>
      <c r="J52" s="169">
        <f>IF(B52="","",IF(B52="A-Kriterium","---",O52))</f>
        <v>5</v>
      </c>
      <c r="K52" s="50">
        <f t="shared" si="10"/>
        <v>0</v>
      </c>
      <c r="L52" s="81">
        <f>IF(B52="A-Kriterium","---",IF(B52="","",I52*K52))</f>
        <v>0</v>
      </c>
      <c r="M52" s="50" t="str">
        <f>IF(AND(ISBLANK(G52)=FALSE,B52="B-Kriterium"),"ok",IF($B52="","",IF(AND(B52="A-Kriterium",G52="ja"),"ok",IF(AND(B52="A-Kriterium",G52="nein"),"nok","offen"))))</f>
        <v>offen</v>
      </c>
      <c r="N52" s="50"/>
      <c r="O52" s="44">
        <v>5</v>
      </c>
      <c r="P52" s="135">
        <f>IF(AND($F52="Bieter/in",$B52="A-Kriterium",$M52=P$38),1,0)</f>
        <v>0</v>
      </c>
      <c r="Q52" s="135">
        <f>IF(AND($F52="Auftraggeber/in",$B52="A-Kriterium",$M52=Q$38),1,0)</f>
        <v>0</v>
      </c>
      <c r="R52" s="135">
        <f>IF(AND($F52="Bieter/in",$B52="B-Kriterium",$M52=R$38),1,0)</f>
        <v>0</v>
      </c>
      <c r="S52" s="135">
        <f>IF(AND($F52="Auftraggeber/in",$B52="B-Kriterium",$M52=S$38),1,0)</f>
        <v>1</v>
      </c>
      <c r="T52" s="135">
        <f>IF(M52="nok",1,0)</f>
        <v>0</v>
      </c>
    </row>
    <row r="53" spans="1:20" customFormat="1">
      <c r="A53" s="21"/>
      <c r="B53" s="51" t="s">
        <v>94</v>
      </c>
      <c r="C53" s="200" t="s">
        <v>942</v>
      </c>
      <c r="D53" s="55" t="s">
        <v>943</v>
      </c>
      <c r="E53" s="50" t="s">
        <v>919</v>
      </c>
      <c r="F53" s="50" t="s">
        <v>856</v>
      </c>
      <c r="G53" s="95"/>
      <c r="H53" s="100"/>
      <c r="I53" s="80">
        <f t="shared" si="11"/>
        <v>1</v>
      </c>
      <c r="J53" s="169">
        <f t="shared" si="12"/>
        <v>5</v>
      </c>
      <c r="K53" s="50">
        <f t="shared" si="10"/>
        <v>0</v>
      </c>
      <c r="L53" s="81">
        <f t="shared" si="13"/>
        <v>0</v>
      </c>
      <c r="M53" s="42" t="str">
        <f t="shared" si="14"/>
        <v>offen</v>
      </c>
      <c r="N53" s="50"/>
      <c r="O53" s="44">
        <v>5</v>
      </c>
      <c r="P53" s="135">
        <f t="shared" ref="P53:P59" si="15">IF(AND($F53="Bieter/in",$B53="A-Kriterium",$M53=P$38),1,0)</f>
        <v>0</v>
      </c>
      <c r="Q53" s="135">
        <f t="shared" ref="Q53:Q59" si="16">IF(AND($F53="Auftraggeber/in",$B53="A-Kriterium",$M53=Q$38),1,0)</f>
        <v>0</v>
      </c>
      <c r="R53" s="135">
        <f t="shared" ref="R53:R59" si="17">IF(AND($F53="Bieter/in",$B53="B-Kriterium",$M53=R$38),1,0)</f>
        <v>0</v>
      </c>
      <c r="S53" s="135">
        <f t="shared" ref="S53:S59" si="18">IF(AND($F53="Auftraggeber/in",$B53="B-Kriterium",$M53=S$38),1,0)</f>
        <v>1</v>
      </c>
      <c r="T53" s="135">
        <f t="shared" si="9"/>
        <v>0</v>
      </c>
    </row>
    <row r="54" spans="1:20" customFormat="1">
      <c r="A54" s="21"/>
      <c r="B54" s="51" t="s">
        <v>94</v>
      </c>
      <c r="C54" s="200" t="s">
        <v>944</v>
      </c>
      <c r="D54" s="55" t="s">
        <v>945</v>
      </c>
      <c r="E54" s="50" t="s">
        <v>919</v>
      </c>
      <c r="F54" s="50" t="s">
        <v>856</v>
      </c>
      <c r="G54" s="95"/>
      <c r="H54" s="100"/>
      <c r="I54" s="80">
        <f t="shared" ref="I54:I59" si="19">IF(B54="","",IF(B54="B-Kriterium",1,"---"))</f>
        <v>1</v>
      </c>
      <c r="J54" s="169">
        <f t="shared" ref="J54:J59" si="20">IF(B54="","",IF(B54="A-Kriterium","---",O54))</f>
        <v>5</v>
      </c>
      <c r="K54" s="50">
        <f t="shared" si="10"/>
        <v>0</v>
      </c>
      <c r="L54" s="81">
        <f t="shared" ref="L54:L59" si="21">IF(B54="A-Kriterium","---",IF(B54="","",I54*K54))</f>
        <v>0</v>
      </c>
      <c r="M54" s="42" t="str">
        <f t="shared" si="14"/>
        <v>offen</v>
      </c>
      <c r="N54" s="50"/>
      <c r="O54" s="44">
        <v>5</v>
      </c>
      <c r="P54" s="135">
        <f t="shared" si="15"/>
        <v>0</v>
      </c>
      <c r="Q54" s="135">
        <f t="shared" si="16"/>
        <v>0</v>
      </c>
      <c r="R54" s="135">
        <f t="shared" si="17"/>
        <v>0</v>
      </c>
      <c r="S54" s="135">
        <f t="shared" si="18"/>
        <v>1</v>
      </c>
      <c r="T54" s="135">
        <f t="shared" si="9"/>
        <v>0</v>
      </c>
    </row>
    <row r="55" spans="1:20" customFormat="1">
      <c r="A55" s="21"/>
      <c r="B55" s="51"/>
      <c r="C55" s="55" t="s">
        <v>946</v>
      </c>
      <c r="D55" s="55" t="s">
        <v>947</v>
      </c>
      <c r="E55" s="50"/>
      <c r="F55" s="50"/>
      <c r="G55" s="316"/>
      <c r="H55" s="317"/>
      <c r="I55" s="80" t="str">
        <f t="shared" si="19"/>
        <v/>
      </c>
      <c r="J55" s="169" t="str">
        <f t="shared" si="20"/>
        <v/>
      </c>
      <c r="K55" s="50" t="str">
        <f t="shared" si="10"/>
        <v/>
      </c>
      <c r="L55" s="81" t="str">
        <f t="shared" si="21"/>
        <v/>
      </c>
      <c r="M55" s="50" t="str">
        <f t="shared" si="14"/>
        <v/>
      </c>
      <c r="N55" s="50"/>
      <c r="O55" s="44"/>
      <c r="P55" s="135"/>
      <c r="Q55" s="135"/>
      <c r="R55" s="135"/>
      <c r="S55" s="135"/>
      <c r="T55" s="135"/>
    </row>
    <row r="56" spans="1:20" customFormat="1">
      <c r="A56" s="21"/>
      <c r="B56" s="51" t="s">
        <v>94</v>
      </c>
      <c r="C56" s="51" t="s">
        <v>948</v>
      </c>
      <c r="D56" s="55" t="s">
        <v>949</v>
      </c>
      <c r="E56" s="50" t="s">
        <v>919</v>
      </c>
      <c r="F56" s="50" t="s">
        <v>856</v>
      </c>
      <c r="G56" s="95"/>
      <c r="H56" s="100"/>
      <c r="I56" s="80">
        <f t="shared" si="19"/>
        <v>1</v>
      </c>
      <c r="J56" s="169">
        <f t="shared" si="20"/>
        <v>5</v>
      </c>
      <c r="K56" s="50">
        <f t="shared" si="10"/>
        <v>0</v>
      </c>
      <c r="L56" s="81">
        <f t="shared" si="21"/>
        <v>0</v>
      </c>
      <c r="M56" s="42" t="str">
        <f t="shared" si="14"/>
        <v>offen</v>
      </c>
      <c r="N56" s="50"/>
      <c r="O56" s="44">
        <v>5</v>
      </c>
      <c r="P56" s="135">
        <f t="shared" si="15"/>
        <v>0</v>
      </c>
      <c r="Q56" s="135">
        <f t="shared" si="16"/>
        <v>0</v>
      </c>
      <c r="R56" s="135">
        <f t="shared" si="17"/>
        <v>0</v>
      </c>
      <c r="S56" s="135">
        <f t="shared" si="18"/>
        <v>1</v>
      </c>
      <c r="T56" s="135">
        <f t="shared" si="9"/>
        <v>0</v>
      </c>
    </row>
    <row r="57" spans="1:20" customFormat="1">
      <c r="A57" s="21"/>
      <c r="B57" s="51" t="s">
        <v>94</v>
      </c>
      <c r="C57" s="51" t="s">
        <v>950</v>
      </c>
      <c r="D57" s="55" t="s">
        <v>951</v>
      </c>
      <c r="E57" s="50" t="s">
        <v>919</v>
      </c>
      <c r="F57" s="50" t="s">
        <v>856</v>
      </c>
      <c r="G57" s="95"/>
      <c r="H57" s="100"/>
      <c r="I57" s="80">
        <f t="shared" si="19"/>
        <v>1</v>
      </c>
      <c r="J57" s="169">
        <f t="shared" si="20"/>
        <v>5</v>
      </c>
      <c r="K57" s="50">
        <f t="shared" si="10"/>
        <v>0</v>
      </c>
      <c r="L57" s="81">
        <f t="shared" si="21"/>
        <v>0</v>
      </c>
      <c r="M57" s="42" t="str">
        <f t="shared" si="14"/>
        <v>offen</v>
      </c>
      <c r="N57" s="50"/>
      <c r="O57" s="44">
        <v>5</v>
      </c>
      <c r="P57" s="135">
        <f t="shared" si="15"/>
        <v>0</v>
      </c>
      <c r="Q57" s="135">
        <f t="shared" si="16"/>
        <v>0</v>
      </c>
      <c r="R57" s="135">
        <f t="shared" si="17"/>
        <v>0</v>
      </c>
      <c r="S57" s="135">
        <f t="shared" si="18"/>
        <v>1</v>
      </c>
      <c r="T57" s="135">
        <f t="shared" si="9"/>
        <v>0</v>
      </c>
    </row>
    <row r="58" spans="1:20" customFormat="1">
      <c r="A58" s="21"/>
      <c r="B58" s="51"/>
      <c r="C58" s="51" t="s">
        <v>952</v>
      </c>
      <c r="D58" s="55" t="s">
        <v>953</v>
      </c>
      <c r="E58" s="50"/>
      <c r="F58" s="50"/>
      <c r="G58" s="316"/>
      <c r="H58" s="317"/>
      <c r="I58" s="80" t="str">
        <f t="shared" si="19"/>
        <v/>
      </c>
      <c r="J58" s="169" t="str">
        <f t="shared" si="20"/>
        <v/>
      </c>
      <c r="K58" s="50" t="str">
        <f t="shared" si="10"/>
        <v/>
      </c>
      <c r="L58" s="81" t="str">
        <f t="shared" si="21"/>
        <v/>
      </c>
      <c r="M58" s="42" t="str">
        <f t="shared" si="14"/>
        <v/>
      </c>
      <c r="N58" s="50"/>
      <c r="O58" s="44"/>
      <c r="P58" s="135"/>
      <c r="Q58" s="135"/>
      <c r="R58" s="135"/>
      <c r="S58" s="135"/>
      <c r="T58" s="135"/>
    </row>
    <row r="59" spans="1:20" customFormat="1">
      <c r="A59" s="21"/>
      <c r="B59" s="51" t="s">
        <v>94</v>
      </c>
      <c r="C59" s="51" t="s">
        <v>954</v>
      </c>
      <c r="D59" s="55" t="s">
        <v>955</v>
      </c>
      <c r="E59" s="50" t="s">
        <v>919</v>
      </c>
      <c r="F59" s="50" t="s">
        <v>856</v>
      </c>
      <c r="G59" s="95"/>
      <c r="H59" s="100"/>
      <c r="I59" s="80">
        <f t="shared" si="19"/>
        <v>1</v>
      </c>
      <c r="J59" s="169">
        <f t="shared" si="20"/>
        <v>5</v>
      </c>
      <c r="K59" s="50">
        <f t="shared" si="10"/>
        <v>0</v>
      </c>
      <c r="L59" s="81">
        <f t="shared" si="21"/>
        <v>0</v>
      </c>
      <c r="M59" s="42" t="str">
        <f t="shared" si="14"/>
        <v>offen</v>
      </c>
      <c r="N59" s="50"/>
      <c r="O59" s="44">
        <v>5</v>
      </c>
      <c r="P59" s="135">
        <f t="shared" si="15"/>
        <v>0</v>
      </c>
      <c r="Q59" s="135">
        <f t="shared" si="16"/>
        <v>0</v>
      </c>
      <c r="R59" s="135">
        <f t="shared" si="17"/>
        <v>0</v>
      </c>
      <c r="S59" s="135">
        <f t="shared" si="18"/>
        <v>1</v>
      </c>
      <c r="T59" s="135">
        <f t="shared" si="9"/>
        <v>0</v>
      </c>
    </row>
    <row r="60" spans="1:20" customFormat="1">
      <c r="A60" s="21"/>
      <c r="B60" s="51" t="s">
        <v>94</v>
      </c>
      <c r="C60" s="51" t="s">
        <v>956</v>
      </c>
      <c r="D60" s="55" t="s">
        <v>957</v>
      </c>
      <c r="E60" s="50" t="s">
        <v>919</v>
      </c>
      <c r="F60" s="50" t="s">
        <v>856</v>
      </c>
      <c r="G60" s="95"/>
      <c r="H60" s="100"/>
      <c r="I60" s="80">
        <f t="shared" ref="I60:I63" si="22">IF(B60="","",IF(B60="B-Kriterium",1,"---"))</f>
        <v>1</v>
      </c>
      <c r="J60" s="169">
        <f t="shared" ref="J60:J61" si="23">IF(B60="","",IF(B60="A-Kriterium","---",O60))</f>
        <v>5</v>
      </c>
      <c r="K60" s="50">
        <f t="shared" si="10"/>
        <v>0</v>
      </c>
      <c r="L60" s="81">
        <f t="shared" ref="L60:L63" si="24">IF(B60="A-Kriterium","---",IF(B60="","",I60*K60))</f>
        <v>0</v>
      </c>
      <c r="M60" s="42" t="str">
        <f t="shared" si="14"/>
        <v>offen</v>
      </c>
      <c r="N60" s="50"/>
      <c r="O60" s="44">
        <v>5</v>
      </c>
      <c r="P60" s="135">
        <f t="shared" ref="P60:P63" si="25">IF(AND($F60="Bieter/in",$B60="A-Kriterium",$M60=P$38),1,0)</f>
        <v>0</v>
      </c>
      <c r="Q60" s="135">
        <f t="shared" ref="Q60:Q63" si="26">IF(AND($F60="Auftraggeber/in",$B60="A-Kriterium",$M60=Q$38),1,0)</f>
        <v>0</v>
      </c>
      <c r="R60" s="135">
        <f t="shared" ref="R60:R63" si="27">IF(AND($F60="Bieter/in",$B60="B-Kriterium",$M60=R$38),1,0)</f>
        <v>0</v>
      </c>
      <c r="S60" s="135">
        <f t="shared" ref="S60:S63" si="28">IF(AND($F60="Auftraggeber/in",$B60="B-Kriterium",$M60=S$38),1,0)</f>
        <v>1</v>
      </c>
      <c r="T60" s="135">
        <f t="shared" ref="T60:T63" si="29">IF(M60="nok",1,0)</f>
        <v>0</v>
      </c>
    </row>
    <row r="61" spans="1:20" customFormat="1">
      <c r="A61" s="21"/>
      <c r="B61" s="51"/>
      <c r="C61" s="51" t="s">
        <v>958</v>
      </c>
      <c r="D61" s="147" t="s">
        <v>959</v>
      </c>
      <c r="E61" s="50"/>
      <c r="F61" s="50"/>
      <c r="G61" s="316"/>
      <c r="H61" s="317"/>
      <c r="I61" s="80" t="str">
        <f t="shared" si="22"/>
        <v/>
      </c>
      <c r="J61" s="169" t="str">
        <f t="shared" si="23"/>
        <v/>
      </c>
      <c r="K61" s="50" t="str">
        <f t="shared" si="10"/>
        <v/>
      </c>
      <c r="L61" s="81" t="str">
        <f t="shared" si="24"/>
        <v/>
      </c>
      <c r="M61" s="42" t="str">
        <f t="shared" si="14"/>
        <v/>
      </c>
      <c r="N61" s="50"/>
      <c r="O61" s="44"/>
      <c r="P61" s="135"/>
      <c r="Q61" s="135"/>
      <c r="R61" s="135"/>
      <c r="S61" s="135"/>
      <c r="T61" s="135"/>
    </row>
    <row r="62" spans="1:20" customFormat="1">
      <c r="A62" s="21"/>
      <c r="B62" s="51" t="s">
        <v>94</v>
      </c>
      <c r="C62" s="51" t="s">
        <v>960</v>
      </c>
      <c r="D62" s="55" t="s">
        <v>961</v>
      </c>
      <c r="E62" s="50" t="s">
        <v>919</v>
      </c>
      <c r="F62" s="50" t="s">
        <v>856</v>
      </c>
      <c r="G62" s="95"/>
      <c r="H62" s="100"/>
      <c r="I62" s="80">
        <f t="shared" si="22"/>
        <v>1</v>
      </c>
      <c r="J62" s="169">
        <f t="shared" ref="J62:J63" si="30">IF(B62="","",IF(B62="A-Kriterium","---",O62))</f>
        <v>5</v>
      </c>
      <c r="K62" s="50">
        <f t="shared" si="10"/>
        <v>0</v>
      </c>
      <c r="L62" s="81">
        <f t="shared" si="24"/>
        <v>0</v>
      </c>
      <c r="M62" s="42" t="str">
        <f t="shared" si="14"/>
        <v>offen</v>
      </c>
      <c r="N62" s="50"/>
      <c r="O62" s="44">
        <v>5</v>
      </c>
      <c r="P62" s="135">
        <f t="shared" si="25"/>
        <v>0</v>
      </c>
      <c r="Q62" s="135">
        <f t="shared" si="26"/>
        <v>0</v>
      </c>
      <c r="R62" s="135">
        <f t="shared" si="27"/>
        <v>0</v>
      </c>
      <c r="S62" s="135">
        <f t="shared" si="28"/>
        <v>1</v>
      </c>
      <c r="T62" s="135">
        <f t="shared" si="29"/>
        <v>0</v>
      </c>
    </row>
    <row r="63" spans="1:20" customFormat="1">
      <c r="A63" s="21"/>
      <c r="B63" s="51" t="s">
        <v>94</v>
      </c>
      <c r="C63" s="51" t="s">
        <v>962</v>
      </c>
      <c r="D63" s="55" t="s">
        <v>963</v>
      </c>
      <c r="E63" s="50" t="s">
        <v>919</v>
      </c>
      <c r="F63" s="50" t="s">
        <v>856</v>
      </c>
      <c r="G63" s="95"/>
      <c r="H63" s="100"/>
      <c r="I63" s="80">
        <f t="shared" si="22"/>
        <v>1</v>
      </c>
      <c r="J63" s="169">
        <f t="shared" si="30"/>
        <v>5</v>
      </c>
      <c r="K63" s="50">
        <f t="shared" si="10"/>
        <v>0</v>
      </c>
      <c r="L63" s="81">
        <f t="shared" si="24"/>
        <v>0</v>
      </c>
      <c r="M63" s="42" t="str">
        <f t="shared" si="14"/>
        <v>offen</v>
      </c>
      <c r="N63" s="50"/>
      <c r="O63" s="44">
        <v>5</v>
      </c>
      <c r="P63" s="135">
        <f t="shared" si="25"/>
        <v>0</v>
      </c>
      <c r="Q63" s="135">
        <f t="shared" si="26"/>
        <v>0</v>
      </c>
      <c r="R63" s="135">
        <f t="shared" si="27"/>
        <v>0</v>
      </c>
      <c r="S63" s="135">
        <f t="shared" si="28"/>
        <v>1</v>
      </c>
      <c r="T63" s="135">
        <f t="shared" si="29"/>
        <v>0</v>
      </c>
    </row>
    <row r="106" spans="4:4">
      <c r="D106" s="51"/>
    </row>
    <row r="107" spans="4:4">
      <c r="D107" s="51"/>
    </row>
    <row r="108" spans="4:4">
      <c r="D108" s="51"/>
    </row>
    <row r="109" spans="4:4">
      <c r="D109" s="51"/>
    </row>
    <row r="110" spans="4:4">
      <c r="D110" s="51"/>
    </row>
    <row r="111" spans="4:4">
      <c r="D111" s="51"/>
    </row>
    <row r="112" spans="4:4">
      <c r="D112" s="51"/>
    </row>
    <row r="113" spans="4:4">
      <c r="D113" s="51"/>
    </row>
    <row r="114" spans="4:4">
      <c r="D114" s="51"/>
    </row>
    <row r="115" spans="4:4">
      <c r="D115" s="51"/>
    </row>
    <row r="116" spans="4:4">
      <c r="D116" s="51"/>
    </row>
    <row r="117" spans="4:4">
      <c r="D117" s="51"/>
    </row>
    <row r="118" spans="4:4">
      <c r="D118" s="51"/>
    </row>
    <row r="119" spans="4:4">
      <c r="D119" s="51"/>
    </row>
    <row r="120" spans="4:4">
      <c r="D120" s="51"/>
    </row>
    <row r="121" spans="4:4">
      <c r="D121" s="51"/>
    </row>
    <row r="122" spans="4:4">
      <c r="D122" s="51"/>
    </row>
    <row r="123" spans="4:4">
      <c r="D123" s="51"/>
    </row>
    <row r="124" spans="4:4">
      <c r="D124" s="51"/>
    </row>
    <row r="125" spans="4:4">
      <c r="D125" s="51"/>
    </row>
    <row r="126" spans="4:4">
      <c r="D126" s="51"/>
    </row>
    <row r="127" spans="4:4">
      <c r="D127" s="51"/>
    </row>
    <row r="128" spans="4:4">
      <c r="D128" s="51"/>
    </row>
    <row r="129" spans="4:4">
      <c r="D129" s="51"/>
    </row>
    <row r="130" spans="4:4">
      <c r="D130" s="51"/>
    </row>
    <row r="131" spans="4:4">
      <c r="D131" s="51"/>
    </row>
    <row r="132" spans="4:4">
      <c r="D132" s="51"/>
    </row>
    <row r="133" spans="4:4">
      <c r="D133" s="51"/>
    </row>
    <row r="134" spans="4:4">
      <c r="D134" s="51"/>
    </row>
    <row r="135" spans="4:4">
      <c r="D135" s="51"/>
    </row>
  </sheetData>
  <sheetProtection algorithmName="SHA-512" hashValue="L2Ms3nuNR5ixn789Ojp4U8o+Ma9pUsXj0cH0/nnYnraLChdDEUWBXZmiORq+m5hZTrf14FlMZW01rlaKkSpNow==" saltValue="Au+vqMO6e1sdPDLI9fRYjg==" spinCount="100000" sheet="1" selectLockedCells="1" sort="0" autoFilter="0"/>
  <protectedRanges>
    <protectedRange sqref="P38:T38 A39:T63" name="AllowSortFilter"/>
    <protectedRange sqref="H38:I38 A38:F38 L38:O38" name="AllowSortFilter_1"/>
    <protectedRange sqref="J38:K38" name="AllowSortFilter_1_1"/>
    <protectedRange sqref="G38" name="AllowSortFilter_2_1"/>
  </protectedRanges>
  <mergeCells count="14">
    <mergeCell ref="B36:M36"/>
    <mergeCell ref="B3:F3"/>
    <mergeCell ref="B10:M10"/>
    <mergeCell ref="B12:M12"/>
    <mergeCell ref="B18:M18"/>
    <mergeCell ref="B20:M20"/>
    <mergeCell ref="B22:M22"/>
    <mergeCell ref="B24:M24"/>
    <mergeCell ref="B28:M28"/>
    <mergeCell ref="B30:M30"/>
    <mergeCell ref="B32:M32"/>
    <mergeCell ref="B34:M34"/>
    <mergeCell ref="B21:M21"/>
    <mergeCell ref="B19:M19"/>
  </mergeCells>
  <phoneticPr fontId="5" type="noConversion"/>
  <conditionalFormatting sqref="A39:A63">
    <cfRule type="expression" dxfId="16" priority="8">
      <formula>$A39="1"</formula>
    </cfRule>
  </conditionalFormatting>
  <conditionalFormatting sqref="C39:O41 B39:B63 C42:J59 K42:O63 C60:D60 C60:C63 E60:J63">
    <cfRule type="expression" dxfId="15" priority="3">
      <formula>IF($C39="",0,1)+IF($B39="",0,1)=1</formula>
    </cfRule>
  </conditionalFormatting>
  <conditionalFormatting sqref="D61:D63">
    <cfRule type="expression" dxfId="14" priority="193">
      <formula>IF(#REF!="",0,1)+IF(#REF!="",0,1)=1</formula>
    </cfRule>
  </conditionalFormatting>
  <conditionalFormatting sqref="D106:D135">
    <cfRule type="expression" dxfId="13" priority="2">
      <formula>IF($C106="",0,1)+IF($B106="",0,1)=1</formula>
    </cfRule>
  </conditionalFormatting>
  <conditionalFormatting sqref="G39:H63">
    <cfRule type="expression" dxfId="12" priority="5">
      <formula>$B39="B-Kriterium"</formula>
    </cfRule>
    <cfRule type="expression" dxfId="11" priority="6">
      <formula>$B39="A-Kriterium"</formula>
    </cfRule>
  </conditionalFormatting>
  <conditionalFormatting sqref="M39:O63">
    <cfRule type="cellIs" dxfId="10" priority="9" operator="equal">
      <formula>"offen"</formula>
    </cfRule>
    <cfRule type="cellIs" dxfId="9" priority="10" operator="equal">
      <formula>"ok"</formula>
    </cfRule>
    <cfRule type="cellIs" dxfId="8" priority="11" operator="equal">
      <formula>"nok"</formula>
    </cfRule>
  </conditionalFormatting>
  <conditionalFormatting sqref="O1:O8 O39:O1048576">
    <cfRule type="expression" dxfId="7" priority="4">
      <formula>$B1="B-Kriterium"</formula>
    </cfRule>
  </conditionalFormatting>
  <dataValidations count="1">
    <dataValidation type="list" allowBlank="1" showInputMessage="1" showErrorMessage="1" sqref="G39:G63" xr:uid="{2ED69D66-1689-4A3F-8663-E1AB8694605E}">
      <formula1>"1,2,3,4,5"</formula1>
    </dataValidation>
  </dataValidations>
  <pageMargins left="0.7" right="0.7" top="0.78740157499999996" bottom="0.78740157499999996" header="0.3" footer="0.3"/>
  <pageSetup paperSize="9" orientation="portrait" horizontalDpi="4294967293" verticalDpi="0"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CBBFE-3D1F-4540-B184-25AD504BF5C1}">
  <sheetPr>
    <tabColor rgb="FF1E466E"/>
  </sheetPr>
  <dimension ref="A1:K48"/>
  <sheetViews>
    <sheetView showGridLines="0" zoomScale="90" zoomScaleNormal="90" workbookViewId="0">
      <pane ySplit="7" topLeftCell="A8" activePane="bottomLeft" state="frozen"/>
      <selection pane="bottomLeft" activeCell="H10" sqref="H10"/>
    </sheetView>
  </sheetViews>
  <sheetFormatPr baseColWidth="10" defaultColWidth="11.44140625" defaultRowHeight="14.4"/>
  <cols>
    <col min="1" max="2" width="11.44140625" style="44"/>
    <col min="3" max="3" width="45.33203125" style="10" customWidth="1"/>
    <col min="4" max="4" width="38.6640625" style="10" customWidth="1"/>
    <col min="5" max="5" width="24" style="44" customWidth="1"/>
    <col min="6" max="6" width="18.44140625" style="44" bestFit="1" customWidth="1"/>
    <col min="7" max="7" width="16.6640625" style="42" customWidth="1"/>
    <col min="8" max="8" width="21.6640625" style="44" customWidth="1"/>
    <col min="9" max="9" width="20.44140625" style="44" customWidth="1"/>
    <col min="10" max="10" width="20.44140625" style="42" customWidth="1"/>
    <col min="11" max="11" width="3.44140625" style="44" customWidth="1"/>
    <col min="12" max="16384" width="11.44140625" style="145"/>
  </cols>
  <sheetData>
    <row r="1" spans="1:11" ht="112.2" customHeight="1">
      <c r="A1" s="206"/>
      <c r="B1" s="13"/>
      <c r="C1" s="45"/>
      <c r="D1" s="45"/>
      <c r="E1" s="13"/>
      <c r="F1" s="13"/>
      <c r="G1" s="13"/>
      <c r="H1" s="13"/>
      <c r="I1" s="13"/>
      <c r="J1" s="207"/>
      <c r="K1" s="13"/>
    </row>
    <row r="2" spans="1:11">
      <c r="A2" s="206"/>
      <c r="B2" s="206"/>
      <c r="C2" s="208"/>
      <c r="D2" s="208"/>
      <c r="E2" s="206"/>
      <c r="F2" s="209"/>
      <c r="G2" s="209"/>
      <c r="H2" s="209"/>
      <c r="I2" s="209"/>
      <c r="J2" s="209"/>
      <c r="K2" s="209"/>
    </row>
    <row r="3" spans="1:11" ht="18">
      <c r="A3" s="4"/>
      <c r="B3" s="71" t="str">
        <f>CONCATENATE("Preisblatt zum Angebot von ",'Allg. Bieterangaben'!E17," im Vergabeverfahren ","'",'Allg. Bieterangaben'!E13,"'")</f>
        <v>Preisblatt zum Angebot von  im Vergabeverfahren 'Entlassmanagement: Digitales Entlass- und Überleitungsmanagement'</v>
      </c>
      <c r="C3" s="210"/>
      <c r="D3" s="210"/>
      <c r="E3" s="4"/>
      <c r="F3" s="4"/>
      <c r="G3" s="211"/>
      <c r="H3" s="212"/>
      <c r="I3" s="211"/>
      <c r="J3" s="211"/>
      <c r="K3" s="211"/>
    </row>
    <row r="4" spans="1:11">
      <c r="A4" s="48"/>
      <c r="B4" s="48"/>
      <c r="C4" s="213"/>
      <c r="D4" s="213"/>
      <c r="E4" s="48"/>
      <c r="F4" s="48"/>
      <c r="G4" s="214"/>
      <c r="H4" s="214"/>
      <c r="I4" s="214"/>
      <c r="J4" s="214"/>
      <c r="K4" s="214"/>
    </row>
    <row r="5" spans="1:11" ht="73.2" customHeight="1">
      <c r="A5" s="48"/>
      <c r="B5" s="215" t="s">
        <v>229</v>
      </c>
      <c r="C5" s="382" t="s">
        <v>1087</v>
      </c>
      <c r="D5" s="382"/>
      <c r="E5" s="382"/>
      <c r="F5" s="382"/>
      <c r="G5" s="382"/>
      <c r="H5" s="382"/>
      <c r="I5" s="382"/>
      <c r="J5" s="382"/>
      <c r="K5" s="51"/>
    </row>
    <row r="6" spans="1:11">
      <c r="A6" s="48"/>
      <c r="B6" s="51"/>
      <c r="C6" s="55"/>
      <c r="D6" s="55"/>
      <c r="E6" s="51"/>
      <c r="F6" s="51"/>
      <c r="G6" s="50"/>
      <c r="H6" s="51"/>
      <c r="I6" s="51"/>
      <c r="J6" s="50"/>
      <c r="K6" s="51"/>
    </row>
    <row r="7" spans="1:11" ht="39.6">
      <c r="A7" s="48"/>
      <c r="B7" s="143"/>
      <c r="C7" s="144" t="s">
        <v>964</v>
      </c>
      <c r="D7" s="144" t="s">
        <v>965</v>
      </c>
      <c r="E7" s="144" t="s">
        <v>966</v>
      </c>
      <c r="F7" s="144" t="s">
        <v>967</v>
      </c>
      <c r="G7" s="144" t="s">
        <v>968</v>
      </c>
      <c r="H7" s="144" t="s">
        <v>969</v>
      </c>
      <c r="I7" s="144" t="s">
        <v>970</v>
      </c>
      <c r="J7" s="216" t="s">
        <v>971</v>
      </c>
      <c r="K7" s="144"/>
    </row>
    <row r="8" spans="1:11">
      <c r="A8" s="48"/>
      <c r="B8" s="217"/>
      <c r="C8" s="218"/>
      <c r="D8" s="218"/>
      <c r="E8" s="219"/>
      <c r="F8" s="219"/>
      <c r="G8" s="219"/>
      <c r="H8" s="220"/>
      <c r="I8" s="221"/>
      <c r="J8" s="220"/>
      <c r="K8" s="221"/>
    </row>
    <row r="9" spans="1:11">
      <c r="A9" s="48"/>
      <c r="B9" s="222" t="s">
        <v>972</v>
      </c>
      <c r="C9" s="223" t="s">
        <v>973</v>
      </c>
      <c r="D9" s="223"/>
      <c r="E9" s="224"/>
      <c r="F9" s="224"/>
      <c r="G9" s="224"/>
      <c r="H9" s="223"/>
      <c r="I9" s="225">
        <f>SUM(I10:I13)</f>
        <v>0</v>
      </c>
      <c r="J9" s="226"/>
      <c r="K9" s="223"/>
    </row>
    <row r="10" spans="1:11">
      <c r="A10" s="48"/>
      <c r="B10" s="331" t="s">
        <v>974</v>
      </c>
      <c r="C10" s="227" t="s">
        <v>975</v>
      </c>
      <c r="D10" s="227"/>
      <c r="E10" s="228" t="s">
        <v>976</v>
      </c>
      <c r="F10" s="229">
        <v>1</v>
      </c>
      <c r="G10" s="230" t="s">
        <v>977</v>
      </c>
      <c r="H10" s="231"/>
      <c r="I10" s="232">
        <f>F10*H10</f>
        <v>0</v>
      </c>
      <c r="J10" s="233" t="str">
        <f>IF(E10="P","ja",IF(E10="O","nein",""))</f>
        <v>ja</v>
      </c>
      <c r="K10" s="232"/>
    </row>
    <row r="11" spans="1:11">
      <c r="A11" s="48"/>
      <c r="B11" s="331" t="s">
        <v>978</v>
      </c>
      <c r="C11" s="234" t="s">
        <v>979</v>
      </c>
      <c r="D11" s="227"/>
      <c r="E11" s="234"/>
      <c r="F11" s="235"/>
      <c r="G11" s="236"/>
      <c r="H11" s="237"/>
      <c r="I11" s="237"/>
      <c r="J11" s="233" t="str">
        <f t="shared" ref="J11:J13" si="0">IF(E11="P","ja",IF(E11="O","nein",""))</f>
        <v/>
      </c>
      <c r="K11" s="237"/>
    </row>
    <row r="12" spans="1:11">
      <c r="A12" s="48"/>
      <c r="B12" s="332" t="s">
        <v>980</v>
      </c>
      <c r="C12" s="348" t="s">
        <v>981</v>
      </c>
      <c r="D12" s="227"/>
      <c r="E12" s="228" t="s">
        <v>976</v>
      </c>
      <c r="F12" s="229">
        <v>1</v>
      </c>
      <c r="G12" s="238" t="s">
        <v>982</v>
      </c>
      <c r="H12" s="239"/>
      <c r="I12" s="232">
        <f t="shared" ref="I12:I13" si="1">F12*H12</f>
        <v>0</v>
      </c>
      <c r="J12" s="233" t="str">
        <f t="shared" si="0"/>
        <v>ja</v>
      </c>
      <c r="K12" s="232"/>
    </row>
    <row r="13" spans="1:11">
      <c r="A13" s="48"/>
      <c r="B13" s="332" t="s">
        <v>983</v>
      </c>
      <c r="C13" s="348" t="s">
        <v>984</v>
      </c>
      <c r="D13" s="227"/>
      <c r="E13" s="228" t="s">
        <v>976</v>
      </c>
      <c r="F13" s="229">
        <v>1</v>
      </c>
      <c r="G13" s="238" t="s">
        <v>982</v>
      </c>
      <c r="H13" s="239"/>
      <c r="I13" s="232">
        <f t="shared" si="1"/>
        <v>0</v>
      </c>
      <c r="J13" s="233" t="str">
        <f t="shared" si="0"/>
        <v>ja</v>
      </c>
      <c r="K13" s="232"/>
    </row>
    <row r="14" spans="1:11">
      <c r="A14" s="48"/>
      <c r="B14" s="332" t="s">
        <v>985</v>
      </c>
      <c r="C14" s="348" t="s">
        <v>986</v>
      </c>
      <c r="D14" s="227"/>
      <c r="E14" s="228" t="s">
        <v>976</v>
      </c>
      <c r="F14" s="229">
        <v>1</v>
      </c>
      <c r="G14" s="238" t="s">
        <v>982</v>
      </c>
      <c r="H14" s="239"/>
      <c r="I14" s="232">
        <f t="shared" ref="I14:I15" si="2">F14*H14</f>
        <v>0</v>
      </c>
      <c r="J14" s="233" t="str">
        <f t="shared" ref="J14:J15" si="3">IF(E14="P","ja",IF(E14="O","nein",""))</f>
        <v>ja</v>
      </c>
      <c r="K14" s="232"/>
    </row>
    <row r="15" spans="1:11">
      <c r="A15" s="48"/>
      <c r="B15" s="332" t="s">
        <v>987</v>
      </c>
      <c r="C15" s="348" t="s">
        <v>988</v>
      </c>
      <c r="D15" s="227"/>
      <c r="E15" s="228" t="s">
        <v>976</v>
      </c>
      <c r="F15" s="229">
        <v>1</v>
      </c>
      <c r="G15" s="238" t="s">
        <v>982</v>
      </c>
      <c r="H15" s="239"/>
      <c r="I15" s="232">
        <f t="shared" si="2"/>
        <v>0</v>
      </c>
      <c r="J15" s="233" t="str">
        <f t="shared" si="3"/>
        <v>ja</v>
      </c>
      <c r="K15" s="232"/>
    </row>
    <row r="16" spans="1:11">
      <c r="A16" s="48"/>
      <c r="B16" s="217"/>
      <c r="C16" s="218"/>
      <c r="D16" s="218"/>
      <c r="E16" s="219"/>
      <c r="F16" s="219"/>
      <c r="G16" s="219"/>
      <c r="H16" s="220"/>
      <c r="I16" s="221"/>
      <c r="J16" s="220"/>
      <c r="K16" s="221"/>
    </row>
    <row r="17" spans="1:11">
      <c r="A17" s="48"/>
      <c r="B17" s="241" t="s">
        <v>989</v>
      </c>
      <c r="C17" s="224" t="s">
        <v>990</v>
      </c>
      <c r="D17" s="224"/>
      <c r="E17" s="224"/>
      <c r="F17" s="224"/>
      <c r="G17" s="224"/>
      <c r="H17" s="224"/>
      <c r="I17" s="242">
        <f>SUM(I18:I25)</f>
        <v>0</v>
      </c>
      <c r="J17" s="243"/>
      <c r="K17" s="224"/>
    </row>
    <row r="18" spans="1:11" ht="26.4">
      <c r="A18" s="48"/>
      <c r="B18" s="331" t="s">
        <v>991</v>
      </c>
      <c r="C18" s="244" t="s">
        <v>992</v>
      </c>
      <c r="D18" s="244"/>
      <c r="E18" s="228" t="s">
        <v>976</v>
      </c>
      <c r="F18" s="245"/>
      <c r="G18" s="238" t="s">
        <v>993</v>
      </c>
      <c r="H18" s="239"/>
      <c r="I18" s="232">
        <f t="shared" ref="I18:I25" si="4">F18*H18</f>
        <v>0</v>
      </c>
      <c r="J18" s="233" t="str">
        <f t="shared" ref="J18:J25" si="5">IF(E18="P","ja",IF(E18="O","nein",""))</f>
        <v>ja</v>
      </c>
      <c r="K18" s="232"/>
    </row>
    <row r="19" spans="1:11" ht="26.4">
      <c r="A19" s="48"/>
      <c r="B19" s="331" t="s">
        <v>994</v>
      </c>
      <c r="C19" s="227" t="s">
        <v>1084</v>
      </c>
      <c r="D19" s="246" t="s">
        <v>1085</v>
      </c>
      <c r="E19" s="228" t="s">
        <v>976</v>
      </c>
      <c r="F19" s="245"/>
      <c r="G19" s="238" t="s">
        <v>993</v>
      </c>
      <c r="H19" s="239"/>
      <c r="I19" s="232">
        <f t="shared" si="4"/>
        <v>0</v>
      </c>
      <c r="J19" s="233" t="str">
        <f t="shared" si="5"/>
        <v>ja</v>
      </c>
      <c r="K19" s="232"/>
    </row>
    <row r="20" spans="1:11" ht="39.6">
      <c r="A20" s="48"/>
      <c r="B20" s="331" t="s">
        <v>995</v>
      </c>
      <c r="C20" s="357" t="s">
        <v>996</v>
      </c>
      <c r="D20" s="246"/>
      <c r="E20" s="228" t="s">
        <v>976</v>
      </c>
      <c r="F20" s="245"/>
      <c r="G20" s="238" t="s">
        <v>993</v>
      </c>
      <c r="H20" s="239"/>
      <c r="I20" s="232">
        <f t="shared" si="4"/>
        <v>0</v>
      </c>
      <c r="J20" s="233" t="str">
        <f t="shared" si="5"/>
        <v>ja</v>
      </c>
      <c r="K20" s="232"/>
    </row>
    <row r="21" spans="1:11">
      <c r="A21" s="48"/>
      <c r="B21" s="331" t="s">
        <v>997</v>
      </c>
      <c r="C21" s="227" t="s">
        <v>998</v>
      </c>
      <c r="D21" s="227"/>
      <c r="E21" s="228" t="s">
        <v>976</v>
      </c>
      <c r="F21" s="245"/>
      <c r="G21" s="238" t="s">
        <v>993</v>
      </c>
      <c r="H21" s="239"/>
      <c r="I21" s="232">
        <f t="shared" si="4"/>
        <v>0</v>
      </c>
      <c r="J21" s="233" t="str">
        <f t="shared" si="5"/>
        <v>ja</v>
      </c>
      <c r="K21" s="232"/>
    </row>
    <row r="22" spans="1:11" ht="14.7" customHeight="1">
      <c r="A22" s="48"/>
      <c r="B22" s="331" t="s">
        <v>999</v>
      </c>
      <c r="C22" s="227" t="s">
        <v>1000</v>
      </c>
      <c r="D22" s="227"/>
      <c r="E22" s="228" t="s">
        <v>976</v>
      </c>
      <c r="F22" s="245"/>
      <c r="G22" s="238" t="s">
        <v>993</v>
      </c>
      <c r="H22" s="239"/>
      <c r="I22" s="232">
        <f t="shared" si="4"/>
        <v>0</v>
      </c>
      <c r="J22" s="233" t="str">
        <f t="shared" si="5"/>
        <v>ja</v>
      </c>
      <c r="K22" s="232"/>
    </row>
    <row r="23" spans="1:11" ht="14.7" customHeight="1">
      <c r="A23" s="48"/>
      <c r="B23" s="331" t="s">
        <v>1001</v>
      </c>
      <c r="C23" s="227" t="s">
        <v>1002</v>
      </c>
      <c r="D23" s="227"/>
      <c r="E23" s="240" t="s">
        <v>1003</v>
      </c>
      <c r="F23" s="229">
        <v>20</v>
      </c>
      <c r="G23" s="238" t="s">
        <v>993</v>
      </c>
      <c r="H23" s="239"/>
      <c r="I23" s="232">
        <f t="shared" ref="I23" si="6">F23*H23</f>
        <v>0</v>
      </c>
      <c r="J23" s="233" t="s">
        <v>4</v>
      </c>
      <c r="K23" s="232"/>
    </row>
    <row r="24" spans="1:11">
      <c r="A24" s="48"/>
      <c r="B24" s="331" t="s">
        <v>1004</v>
      </c>
      <c r="C24" s="227" t="s">
        <v>1005</v>
      </c>
      <c r="D24" s="227"/>
      <c r="E24" s="228" t="s">
        <v>976</v>
      </c>
      <c r="F24" s="245"/>
      <c r="G24" s="238" t="s">
        <v>993</v>
      </c>
      <c r="H24" s="239"/>
      <c r="I24" s="232">
        <f t="shared" si="4"/>
        <v>0</v>
      </c>
      <c r="J24" s="233" t="str">
        <f t="shared" si="5"/>
        <v>ja</v>
      </c>
      <c r="K24" s="232"/>
    </row>
    <row r="25" spans="1:11">
      <c r="A25" s="48"/>
      <c r="B25" s="331" t="s">
        <v>1006</v>
      </c>
      <c r="C25" s="227" t="s">
        <v>1007</v>
      </c>
      <c r="D25" s="227"/>
      <c r="E25" s="228" t="s">
        <v>976</v>
      </c>
      <c r="F25" s="247"/>
      <c r="G25" s="230" t="s">
        <v>1008</v>
      </c>
      <c r="H25" s="239"/>
      <c r="I25" s="232">
        <f t="shared" si="4"/>
        <v>0</v>
      </c>
      <c r="J25" s="233" t="str">
        <f t="shared" si="5"/>
        <v>ja</v>
      </c>
      <c r="K25" s="232"/>
    </row>
    <row r="26" spans="1:11">
      <c r="A26" s="48"/>
      <c r="B26" s="217"/>
      <c r="C26" s="218"/>
      <c r="D26" s="218"/>
      <c r="E26" s="219"/>
      <c r="F26" s="219"/>
      <c r="G26" s="219"/>
      <c r="H26" s="220"/>
      <c r="I26" s="221"/>
      <c r="J26" s="220"/>
      <c r="K26" s="221"/>
    </row>
    <row r="27" spans="1:11" ht="27" customHeight="1">
      <c r="A27" s="48"/>
      <c r="B27" s="241" t="s">
        <v>1009</v>
      </c>
      <c r="C27" s="224" t="s">
        <v>1010</v>
      </c>
      <c r="D27" s="224"/>
      <c r="E27" s="224"/>
      <c r="F27" s="224"/>
      <c r="G27" s="224"/>
      <c r="H27" s="224"/>
      <c r="I27" s="242">
        <f>SUM(I28:I29)</f>
        <v>0</v>
      </c>
      <c r="J27" s="243"/>
      <c r="K27" s="224"/>
    </row>
    <row r="28" spans="1:11" ht="26.4">
      <c r="A28" s="48"/>
      <c r="B28" s="331" t="s">
        <v>1011</v>
      </c>
      <c r="C28" s="248" t="s">
        <v>1012</v>
      </c>
      <c r="D28" s="249" t="s">
        <v>1013</v>
      </c>
      <c r="E28" s="228" t="s">
        <v>976</v>
      </c>
      <c r="F28" s="229">
        <v>36</v>
      </c>
      <c r="G28" s="230" t="s">
        <v>1014</v>
      </c>
      <c r="H28" s="239"/>
      <c r="I28" s="232">
        <f>F28*H28*220*3</f>
        <v>0</v>
      </c>
      <c r="J28" s="233" t="str">
        <f>IF(E28="P","ja",IF(E28="O","nein",""))</f>
        <v>ja</v>
      </c>
      <c r="K28" s="232"/>
    </row>
    <row r="29" spans="1:11" ht="26.4">
      <c r="A29" s="48"/>
      <c r="B29" s="331" t="s">
        <v>1015</v>
      </c>
      <c r="C29" s="248" t="s">
        <v>1016</v>
      </c>
      <c r="D29" s="249" t="s">
        <v>1013</v>
      </c>
      <c r="E29" s="240" t="s">
        <v>1003</v>
      </c>
      <c r="F29" s="229">
        <v>24</v>
      </c>
      <c r="G29" s="230" t="s">
        <v>1014</v>
      </c>
      <c r="H29" s="239"/>
      <c r="I29" s="232">
        <f>F29*H29*220*2</f>
        <v>0</v>
      </c>
      <c r="J29" s="233" t="s">
        <v>4</v>
      </c>
      <c r="K29" s="232"/>
    </row>
    <row r="30" spans="1:11">
      <c r="A30" s="48"/>
      <c r="B30" s="217"/>
      <c r="C30" s="218"/>
      <c r="D30" s="218"/>
      <c r="E30" s="219"/>
      <c r="F30" s="219"/>
      <c r="G30" s="219"/>
      <c r="H30" s="220"/>
      <c r="I30" s="221"/>
      <c r="J30" s="220"/>
      <c r="K30" s="221"/>
    </row>
    <row r="31" spans="1:11" ht="26.4">
      <c r="A31" s="48"/>
      <c r="B31" s="222" t="s">
        <v>1017</v>
      </c>
      <c r="C31" s="223" t="s">
        <v>1018</v>
      </c>
      <c r="D31" s="223"/>
      <c r="E31" s="224" t="s">
        <v>966</v>
      </c>
      <c r="F31" s="224" t="s">
        <v>967</v>
      </c>
      <c r="G31" s="224" t="s">
        <v>968</v>
      </c>
      <c r="H31" s="223" t="s">
        <v>1019</v>
      </c>
      <c r="I31" s="225">
        <f>SUM(I32:I38)</f>
        <v>0</v>
      </c>
      <c r="J31" s="226"/>
      <c r="K31" s="223"/>
    </row>
    <row r="32" spans="1:11" ht="26.4">
      <c r="A32" s="48"/>
      <c r="B32" s="331" t="s">
        <v>1020</v>
      </c>
      <c r="C32" s="227" t="s">
        <v>1021</v>
      </c>
      <c r="D32" s="330" t="s">
        <v>1022</v>
      </c>
      <c r="E32" s="228" t="s">
        <v>976</v>
      </c>
      <c r="F32" s="229">
        <v>36</v>
      </c>
      <c r="G32" s="230" t="s">
        <v>1014</v>
      </c>
      <c r="H32" s="231"/>
      <c r="I32" s="250">
        <f>F32*H32</f>
        <v>0</v>
      </c>
      <c r="J32" s="233" t="str">
        <f>IF(E32="P","ja",IF(E32="O","nein",""))</f>
        <v>ja</v>
      </c>
      <c r="K32" s="250"/>
    </row>
    <row r="33" spans="1:11" ht="26.4">
      <c r="A33" s="48"/>
      <c r="B33" s="331" t="s">
        <v>1023</v>
      </c>
      <c r="C33" s="227" t="s">
        <v>1024</v>
      </c>
      <c r="D33" s="330" t="s">
        <v>1022</v>
      </c>
      <c r="E33" s="240" t="s">
        <v>1003</v>
      </c>
      <c r="F33" s="229">
        <v>24</v>
      </c>
      <c r="G33" s="230" t="s">
        <v>1014</v>
      </c>
      <c r="H33" s="231"/>
      <c r="I33" s="250">
        <f>F33*H33</f>
        <v>0</v>
      </c>
      <c r="J33" s="233" t="s">
        <v>4</v>
      </c>
      <c r="K33" s="250"/>
    </row>
    <row r="34" spans="1:11">
      <c r="A34" s="48"/>
      <c r="B34" s="331" t="s">
        <v>1025</v>
      </c>
      <c r="C34" s="227" t="s">
        <v>1026</v>
      </c>
      <c r="D34" s="330"/>
      <c r="E34" s="330"/>
      <c r="F34" s="229"/>
      <c r="G34" s="230"/>
      <c r="H34" s="329"/>
      <c r="I34" s="250"/>
      <c r="J34" s="233"/>
      <c r="K34" s="250"/>
    </row>
    <row r="35" spans="1:11" ht="24.45" customHeight="1">
      <c r="A35" s="48"/>
      <c r="B35" s="332" t="s">
        <v>1027</v>
      </c>
      <c r="C35" s="349" t="s">
        <v>1028</v>
      </c>
      <c r="D35" s="246" t="s">
        <v>1029</v>
      </c>
      <c r="E35" s="228" t="s">
        <v>976</v>
      </c>
      <c r="F35" s="229">
        <v>36</v>
      </c>
      <c r="G35" s="230" t="s">
        <v>1014</v>
      </c>
      <c r="H35" s="231"/>
      <c r="I35" s="250">
        <f t="shared" ref="I35:I38" si="7">F35*H35</f>
        <v>0</v>
      </c>
      <c r="J35" s="233" t="str">
        <f t="shared" ref="J35:J38" si="8">IF(E35="P","ja",IF(E35="O","nein",""))</f>
        <v>ja</v>
      </c>
      <c r="K35" s="250"/>
    </row>
    <row r="36" spans="1:11" ht="26.4">
      <c r="A36" s="48"/>
      <c r="B36" s="332" t="s">
        <v>1030</v>
      </c>
      <c r="C36" s="349" t="s">
        <v>984</v>
      </c>
      <c r="D36" s="246" t="s">
        <v>1029</v>
      </c>
      <c r="E36" s="228" t="s">
        <v>976</v>
      </c>
      <c r="F36" s="229">
        <v>36</v>
      </c>
      <c r="G36" s="230" t="s">
        <v>1014</v>
      </c>
      <c r="H36" s="231"/>
      <c r="I36" s="250">
        <f t="shared" si="7"/>
        <v>0</v>
      </c>
      <c r="J36" s="233" t="str">
        <f t="shared" si="8"/>
        <v>ja</v>
      </c>
      <c r="K36" s="250"/>
    </row>
    <row r="37" spans="1:11" ht="26.4">
      <c r="A37" s="48"/>
      <c r="B37" s="332" t="s">
        <v>1031</v>
      </c>
      <c r="C37" s="348" t="s">
        <v>986</v>
      </c>
      <c r="D37" s="246" t="s">
        <v>1029</v>
      </c>
      <c r="E37" s="228" t="s">
        <v>976</v>
      </c>
      <c r="F37" s="229">
        <v>36</v>
      </c>
      <c r="G37" s="230" t="s">
        <v>1014</v>
      </c>
      <c r="H37" s="231"/>
      <c r="I37" s="250">
        <f t="shared" ref="I37" si="9">F37*H37</f>
        <v>0</v>
      </c>
      <c r="J37" s="233" t="str">
        <f t="shared" ref="J37" si="10">IF(E37="P","ja",IF(E37="O","nein",""))</f>
        <v>ja</v>
      </c>
      <c r="K37" s="250"/>
    </row>
    <row r="38" spans="1:11" ht="25.2" customHeight="1">
      <c r="A38" s="48"/>
      <c r="B38" s="332" t="s">
        <v>1032</v>
      </c>
      <c r="C38" s="348" t="s">
        <v>988</v>
      </c>
      <c r="D38" s="246" t="s">
        <v>1029</v>
      </c>
      <c r="E38" s="228" t="s">
        <v>976</v>
      </c>
      <c r="F38" s="229">
        <v>36</v>
      </c>
      <c r="G38" s="230" t="s">
        <v>1014</v>
      </c>
      <c r="H38" s="231"/>
      <c r="I38" s="250">
        <f t="shared" si="7"/>
        <v>0</v>
      </c>
      <c r="J38" s="233" t="str">
        <f t="shared" si="8"/>
        <v>ja</v>
      </c>
      <c r="K38" s="250"/>
    </row>
    <row r="39" spans="1:11">
      <c r="A39" s="48"/>
      <c r="B39" s="217"/>
      <c r="C39" s="218"/>
      <c r="D39" s="218"/>
      <c r="E39" s="219"/>
      <c r="F39" s="219"/>
      <c r="G39" s="219"/>
      <c r="H39" s="220"/>
      <c r="I39" s="221"/>
      <c r="J39" s="220"/>
      <c r="K39" s="221"/>
    </row>
    <row r="40" spans="1:11" ht="39.6">
      <c r="A40" s="48"/>
      <c r="B40" s="222" t="s">
        <v>1033</v>
      </c>
      <c r="C40" s="223" t="s">
        <v>1086</v>
      </c>
      <c r="D40" s="223"/>
      <c r="E40" s="224"/>
      <c r="F40" s="224"/>
      <c r="G40" s="224"/>
      <c r="H40" s="223"/>
      <c r="I40" s="225">
        <f>SUM(I41:I43)</f>
        <v>0</v>
      </c>
      <c r="J40" s="226"/>
      <c r="K40" s="223"/>
    </row>
    <row r="41" spans="1:11">
      <c r="A41" s="48"/>
      <c r="B41" s="331" t="s">
        <v>1034</v>
      </c>
      <c r="C41" s="251" t="s">
        <v>1035</v>
      </c>
      <c r="D41" s="251"/>
      <c r="E41" s="240" t="s">
        <v>1003</v>
      </c>
      <c r="F41" s="229">
        <v>5</v>
      </c>
      <c r="G41" s="230" t="s">
        <v>1036</v>
      </c>
      <c r="H41" s="231"/>
      <c r="I41" s="232">
        <f>F41*H41</f>
        <v>0</v>
      </c>
      <c r="J41" s="233" t="s">
        <v>4</v>
      </c>
      <c r="K41" s="232"/>
    </row>
    <row r="42" spans="1:11">
      <c r="A42" s="48"/>
      <c r="B42" s="331" t="s">
        <v>1037</v>
      </c>
      <c r="C42" s="251" t="s">
        <v>1038</v>
      </c>
      <c r="D42" s="251"/>
      <c r="E42" s="240" t="s">
        <v>1003</v>
      </c>
      <c r="F42" s="229">
        <v>5</v>
      </c>
      <c r="G42" s="230" t="s">
        <v>1036</v>
      </c>
      <c r="H42" s="231"/>
      <c r="I42" s="232">
        <f>F42*H42</f>
        <v>0</v>
      </c>
      <c r="J42" s="233" t="s">
        <v>4</v>
      </c>
      <c r="K42" s="232"/>
    </row>
    <row r="43" spans="1:11" ht="79.2">
      <c r="A43" s="48"/>
      <c r="B43" s="331" t="s">
        <v>1039</v>
      </c>
      <c r="C43" s="251" t="s">
        <v>1040</v>
      </c>
      <c r="D43" s="345" t="s">
        <v>1041</v>
      </c>
      <c r="E43" s="240" t="s">
        <v>1003</v>
      </c>
      <c r="F43" s="229">
        <v>5</v>
      </c>
      <c r="G43" s="230" t="s">
        <v>1036</v>
      </c>
      <c r="H43" s="231"/>
      <c r="I43" s="232">
        <f>F43*H43</f>
        <v>0</v>
      </c>
      <c r="J43" s="233" t="s">
        <v>4</v>
      </c>
      <c r="K43" s="232"/>
    </row>
    <row r="44" spans="1:11">
      <c r="A44" s="48"/>
      <c r="B44" s="217"/>
      <c r="C44" s="218"/>
      <c r="D44" s="218"/>
      <c r="E44" s="219"/>
      <c r="F44" s="219"/>
      <c r="G44" s="219"/>
      <c r="H44" s="220"/>
      <c r="I44" s="221"/>
      <c r="J44" s="220"/>
      <c r="K44" s="221"/>
    </row>
    <row r="45" spans="1:11" ht="15" thickBot="1">
      <c r="A45" s="48"/>
      <c r="B45" s="217"/>
      <c r="C45" s="218"/>
      <c r="D45" s="218"/>
      <c r="E45" s="219"/>
      <c r="F45" s="219"/>
      <c r="G45" s="219"/>
      <c r="H45" s="252"/>
      <c r="I45" s="253"/>
      <c r="J45" s="220"/>
      <c r="K45" s="221"/>
    </row>
    <row r="46" spans="1:11" ht="15" thickBot="1">
      <c r="A46" s="48"/>
      <c r="B46" s="217"/>
      <c r="C46" s="218"/>
      <c r="D46" s="218"/>
      <c r="E46" s="219"/>
      <c r="F46" s="219"/>
      <c r="G46" s="219"/>
      <c r="H46" s="254" t="s">
        <v>1042</v>
      </c>
      <c r="I46" s="255">
        <f>SUMIF(J10:J44,"ja",I10:I44)</f>
        <v>0</v>
      </c>
      <c r="J46" s="220"/>
      <c r="K46" s="221"/>
    </row>
    <row r="47" spans="1:11">
      <c r="A47" s="48"/>
      <c r="B47" s="217"/>
      <c r="C47" s="218"/>
      <c r="D47" s="218"/>
      <c r="E47" s="219"/>
      <c r="F47" s="219"/>
      <c r="G47" s="219"/>
      <c r="H47" s="220"/>
      <c r="I47" s="221"/>
      <c r="J47" s="220"/>
      <c r="K47" s="221"/>
    </row>
    <row r="48" spans="1:11" ht="15" thickBot="1">
      <c r="A48" s="77"/>
      <c r="B48" s="256"/>
      <c r="C48" s="257"/>
      <c r="D48" s="257"/>
      <c r="E48" s="256"/>
      <c r="F48" s="256"/>
      <c r="G48" s="258"/>
      <c r="H48" s="256"/>
      <c r="I48" s="256"/>
      <c r="J48" s="258"/>
      <c r="K48" s="258"/>
    </row>
  </sheetData>
  <sheetProtection algorithmName="SHA-512" hashValue="30UsJ0BtLY4ITXlAfD1GLGojIAMfSh0MmSgDmjrZZec1eym1cODVWsY1Qe0EzGqm+OVD/gJXKvUEusmr2MWlzQ==" saltValue="poTovgAC8wB56tJXs5gtnA==" spinCount="100000" sheet="1" objects="1" scenarios="1" selectLockedCells="1"/>
  <mergeCells count="1">
    <mergeCell ref="C5:J5"/>
  </mergeCells>
  <phoneticPr fontId="5" type="noConversion"/>
  <pageMargins left="0.7" right="0.7" top="0.78740157499999996" bottom="0.78740157499999996" header="0.3" footer="0.3"/>
  <ignoredErrors>
    <ignoredError sqref="B12:B15 B35:B38" twoDigitTextYear="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4091-869F-451A-9ED8-690A7E5455BF}">
  <sheetPr>
    <tabColor rgb="FF1D466E"/>
  </sheetPr>
  <dimension ref="A1:N46"/>
  <sheetViews>
    <sheetView zoomScale="80" zoomScaleNormal="80" workbookViewId="0">
      <selection activeCell="D43" sqref="D43"/>
    </sheetView>
  </sheetViews>
  <sheetFormatPr baseColWidth="10" defaultColWidth="9.33203125" defaultRowHeight="13.2"/>
  <cols>
    <col min="1" max="1" width="11.44140625" style="160" customWidth="1"/>
    <col min="2" max="2" width="21.44140625" style="160" customWidth="1"/>
    <col min="3" max="3" width="29.44140625" style="160" customWidth="1"/>
    <col min="4" max="4" width="30.44140625" style="160" bestFit="1" customWidth="1"/>
    <col min="5" max="6" width="22.44140625" style="160" customWidth="1"/>
    <col min="7" max="7" width="111.44140625" style="160" customWidth="1"/>
    <col min="8" max="8" width="4.44140625" style="160" customWidth="1"/>
    <col min="9" max="16384" width="9.33203125" style="160"/>
  </cols>
  <sheetData>
    <row r="1" spans="1:14" s="15" customFormat="1" ht="97.2" customHeight="1">
      <c r="A1" s="21"/>
      <c r="B1" s="13"/>
      <c r="C1" s="13"/>
      <c r="D1" s="43"/>
      <c r="E1" s="13"/>
      <c r="F1" s="13"/>
      <c r="G1" s="45"/>
      <c r="H1" s="13"/>
      <c r="I1" s="14"/>
      <c r="J1" s="14"/>
      <c r="K1" s="14"/>
      <c r="L1" s="14"/>
      <c r="M1" s="14"/>
      <c r="N1" s="14"/>
    </row>
    <row r="2" spans="1:14" s="159" customFormat="1" ht="19.5" customHeight="1">
      <c r="A2" s="6"/>
      <c r="B2" s="4" t="str">
        <f>CONCATENATE("Auswertung der Angaben von ",'Allg. Bieterangaben'!E17," im Vergabeverfahren ","'",'Allg. Bieterangaben'!E13,"'")</f>
        <v>Auswertung der Angaben von  im Vergabeverfahren 'Entlassmanagement: Digitales Entlass- und Überleitungsmanagement'</v>
      </c>
      <c r="C2" s="4"/>
      <c r="D2" s="4"/>
      <c r="E2" s="4"/>
      <c r="F2" s="171"/>
      <c r="G2" s="171"/>
      <c r="H2" s="70"/>
      <c r="I2" s="172"/>
      <c r="J2" s="172"/>
      <c r="K2" s="172"/>
      <c r="L2" s="172"/>
      <c r="M2" s="172"/>
      <c r="N2" s="172"/>
    </row>
    <row r="3" spans="1:14">
      <c r="A3" s="173"/>
      <c r="B3" s="173"/>
      <c r="C3" s="173"/>
      <c r="D3" s="173"/>
      <c r="E3" s="173"/>
      <c r="F3" s="173"/>
      <c r="G3" s="173"/>
      <c r="H3" s="7"/>
      <c r="I3" s="174"/>
      <c r="J3" s="174"/>
      <c r="K3" s="174"/>
      <c r="L3" s="174"/>
      <c r="M3" s="174"/>
      <c r="N3" s="174"/>
    </row>
    <row r="4" spans="1:14">
      <c r="A4" s="173"/>
      <c r="B4" s="175"/>
      <c r="C4" s="175"/>
      <c r="D4" s="175"/>
      <c r="E4" s="175"/>
      <c r="F4" s="175"/>
      <c r="G4" s="175"/>
      <c r="H4" s="176"/>
      <c r="I4" s="174"/>
      <c r="J4" s="174"/>
      <c r="K4" s="174"/>
      <c r="L4" s="174"/>
      <c r="M4" s="174"/>
      <c r="N4" s="174"/>
    </row>
    <row r="5" spans="1:14">
      <c r="A5" s="173"/>
      <c r="B5" s="383" t="s">
        <v>1043</v>
      </c>
      <c r="C5" s="383"/>
      <c r="D5" s="383"/>
      <c r="E5" s="383"/>
      <c r="F5" s="383"/>
      <c r="G5" s="383"/>
      <c r="H5" s="177"/>
      <c r="I5" s="174"/>
      <c r="J5" s="174"/>
      <c r="K5" s="174"/>
      <c r="L5" s="174"/>
      <c r="M5" s="174"/>
      <c r="N5" s="174"/>
    </row>
    <row r="6" spans="1:14">
      <c r="A6" s="173"/>
      <c r="B6" s="178" t="s">
        <v>1044</v>
      </c>
      <c r="C6" s="179"/>
      <c r="D6" s="179"/>
      <c r="E6" s="179"/>
      <c r="F6" s="179"/>
      <c r="G6" s="179"/>
      <c r="H6" s="180"/>
      <c r="I6" s="174"/>
      <c r="J6" s="174"/>
      <c r="K6" s="174"/>
      <c r="L6" s="174"/>
      <c r="M6" s="174"/>
      <c r="N6" s="174"/>
    </row>
    <row r="7" spans="1:14" ht="15" customHeight="1">
      <c r="A7" s="173"/>
      <c r="B7" s="362" t="s">
        <v>1045</v>
      </c>
      <c r="C7" s="362"/>
      <c r="D7" s="362"/>
      <c r="E7" s="362"/>
      <c r="F7" s="362"/>
      <c r="G7" s="362"/>
      <c r="H7" s="180"/>
      <c r="I7" s="174"/>
      <c r="J7" s="174"/>
      <c r="K7" s="174"/>
      <c r="L7" s="174"/>
      <c r="M7" s="174"/>
      <c r="N7" s="174"/>
    </row>
    <row r="8" spans="1:14" ht="15" customHeight="1">
      <c r="A8" s="173"/>
      <c r="B8" s="384" t="s">
        <v>1046</v>
      </c>
      <c r="C8" s="384"/>
      <c r="D8" s="384"/>
      <c r="E8" s="384"/>
      <c r="F8" s="384"/>
      <c r="G8" s="384"/>
      <c r="H8" s="180"/>
      <c r="I8" s="174"/>
      <c r="J8" s="174"/>
      <c r="K8" s="174"/>
      <c r="L8" s="174"/>
      <c r="M8" s="174"/>
      <c r="N8" s="174"/>
    </row>
    <row r="9" spans="1:14" ht="15" customHeight="1">
      <c r="A9" s="173"/>
      <c r="B9" s="181"/>
      <c r="C9" s="181"/>
      <c r="D9" s="181"/>
      <c r="E9" s="181"/>
      <c r="F9" s="181"/>
      <c r="G9" s="181"/>
      <c r="H9" s="180"/>
      <c r="I9" s="174"/>
      <c r="J9" s="174"/>
      <c r="K9" s="174"/>
      <c r="L9" s="174"/>
      <c r="M9" s="174"/>
      <c r="N9" s="174"/>
    </row>
    <row r="10" spans="1:14" ht="15" customHeight="1">
      <c r="A10" s="173"/>
      <c r="B10" s="183" t="s">
        <v>1047</v>
      </c>
      <c r="C10" s="181"/>
      <c r="D10" s="181"/>
      <c r="E10" s="181"/>
      <c r="F10" s="181"/>
      <c r="G10" s="181"/>
      <c r="H10" s="180"/>
      <c r="I10" s="174"/>
      <c r="J10" s="174"/>
      <c r="K10" s="174"/>
      <c r="L10" s="174"/>
      <c r="M10" s="174"/>
      <c r="N10" s="174"/>
    </row>
    <row r="11" spans="1:14" ht="15" customHeight="1">
      <c r="A11" s="173"/>
      <c r="B11" s="182" t="s">
        <v>1048</v>
      </c>
      <c r="C11" s="183" t="s">
        <v>1049</v>
      </c>
      <c r="D11" s="181"/>
      <c r="E11" s="181"/>
      <c r="F11" s="181"/>
      <c r="G11" s="181"/>
      <c r="H11" s="180"/>
      <c r="I11" s="174"/>
      <c r="J11" s="174"/>
      <c r="K11" s="174"/>
      <c r="L11" s="174"/>
      <c r="M11" s="174"/>
      <c r="N11" s="174"/>
    </row>
    <row r="12" spans="1:14" ht="15" customHeight="1">
      <c r="A12" s="173"/>
      <c r="B12" s="182" t="s">
        <v>1050</v>
      </c>
      <c r="C12" s="183" t="s">
        <v>1051</v>
      </c>
      <c r="D12" s="181"/>
      <c r="E12" s="181"/>
      <c r="F12" s="181"/>
      <c r="G12" s="181"/>
      <c r="H12" s="180"/>
      <c r="I12" s="174"/>
      <c r="J12" s="174"/>
      <c r="K12" s="174"/>
      <c r="L12" s="174"/>
      <c r="M12" s="174"/>
      <c r="N12" s="174"/>
    </row>
    <row r="13" spans="1:14" ht="15" customHeight="1">
      <c r="A13" s="173"/>
      <c r="B13" s="181"/>
      <c r="C13" s="181"/>
      <c r="D13" s="181"/>
      <c r="E13" s="181"/>
      <c r="F13" s="181"/>
      <c r="G13" s="181"/>
      <c r="H13" s="180"/>
      <c r="I13" s="174"/>
      <c r="J13" s="174"/>
      <c r="K13" s="174"/>
      <c r="L13" s="174"/>
      <c r="M13" s="174"/>
      <c r="N13" s="174"/>
    </row>
    <row r="14" spans="1:14" ht="15" customHeight="1">
      <c r="A14" s="173"/>
      <c r="B14" s="200" t="s">
        <v>1052</v>
      </c>
      <c r="C14" s="181"/>
      <c r="D14" s="181"/>
      <c r="E14" s="181"/>
      <c r="F14" s="181"/>
      <c r="G14" s="181"/>
      <c r="H14" s="180"/>
      <c r="I14" s="174"/>
      <c r="J14" s="174"/>
      <c r="K14" s="174"/>
      <c r="L14" s="174"/>
      <c r="M14" s="174"/>
      <c r="N14" s="174"/>
    </row>
    <row r="15" spans="1:14" ht="15" customHeight="1">
      <c r="A15" s="173"/>
      <c r="B15" s="182" t="s">
        <v>1053</v>
      </c>
      <c r="C15" s="185">
        <v>0.5</v>
      </c>
      <c r="D15" s="181"/>
      <c r="E15" s="181"/>
      <c r="F15" s="181"/>
      <c r="G15" s="181"/>
      <c r="H15" s="180"/>
      <c r="I15" s="174"/>
      <c r="J15" s="174"/>
      <c r="K15" s="174"/>
      <c r="L15" s="174"/>
      <c r="M15" s="174"/>
      <c r="N15" s="174"/>
    </row>
    <row r="16" spans="1:14" ht="15" customHeight="1">
      <c r="A16" s="173"/>
      <c r="B16" s="182" t="s">
        <v>1054</v>
      </c>
      <c r="C16" s="185">
        <v>0.3</v>
      </c>
      <c r="D16" s="181"/>
      <c r="E16" s="181"/>
      <c r="F16" s="181"/>
      <c r="G16" s="181"/>
      <c r="H16" s="180"/>
      <c r="I16" s="174"/>
      <c r="J16" s="174"/>
      <c r="K16" s="174"/>
      <c r="L16" s="174"/>
      <c r="M16" s="174"/>
      <c r="N16" s="174"/>
    </row>
    <row r="17" spans="1:14" ht="15" customHeight="1">
      <c r="A17" s="173"/>
      <c r="B17" s="182" t="s">
        <v>1055</v>
      </c>
      <c r="C17" s="185">
        <v>0.2</v>
      </c>
      <c r="D17" s="181"/>
      <c r="E17" s="181"/>
      <c r="F17" s="181"/>
      <c r="G17" s="181"/>
      <c r="H17" s="180"/>
      <c r="I17" s="174"/>
      <c r="J17" s="174"/>
      <c r="K17" s="174"/>
      <c r="L17" s="174"/>
      <c r="M17" s="174"/>
      <c r="N17" s="174"/>
    </row>
    <row r="18" spans="1:14" ht="15" customHeight="1">
      <c r="A18" s="173"/>
      <c r="B18" s="182"/>
      <c r="C18" s="185"/>
      <c r="D18" s="181"/>
      <c r="E18" s="181"/>
      <c r="F18" s="181"/>
      <c r="G18" s="181"/>
      <c r="H18" s="180"/>
      <c r="I18" s="174"/>
      <c r="J18" s="174"/>
      <c r="K18" s="174"/>
      <c r="L18" s="174"/>
      <c r="M18" s="174"/>
      <c r="N18" s="174"/>
    </row>
    <row r="19" spans="1:14" ht="15" customHeight="1">
      <c r="A19" s="173"/>
      <c r="B19" s="178" t="s">
        <v>1056</v>
      </c>
      <c r="C19" s="186"/>
      <c r="D19" s="179"/>
      <c r="E19" s="179"/>
      <c r="F19" s="179"/>
      <c r="G19" s="179"/>
      <c r="H19" s="180"/>
      <c r="I19" s="174"/>
      <c r="J19" s="174"/>
      <c r="K19" s="174"/>
      <c r="L19" s="174"/>
      <c r="M19" s="174"/>
      <c r="N19" s="174"/>
    </row>
    <row r="20" spans="1:14" s="162" customFormat="1" ht="42">
      <c r="A20" s="187"/>
      <c r="B20" s="161" t="s">
        <v>1057</v>
      </c>
      <c r="C20" s="161" t="s">
        <v>1058</v>
      </c>
      <c r="D20" s="161" t="s">
        <v>1059</v>
      </c>
      <c r="E20" s="161" t="s">
        <v>1060</v>
      </c>
      <c r="F20" s="161" t="s">
        <v>1061</v>
      </c>
      <c r="G20" s="161" t="s">
        <v>1062</v>
      </c>
      <c r="H20" s="188"/>
      <c r="I20" s="355"/>
      <c r="J20" s="355"/>
      <c r="K20" s="355"/>
      <c r="L20" s="355"/>
      <c r="M20" s="355"/>
      <c r="N20" s="355"/>
    </row>
    <row r="21" spans="1:14" s="162" customFormat="1" ht="39.6">
      <c r="A21" s="187"/>
      <c r="B21" s="193" t="s">
        <v>1063</v>
      </c>
      <c r="C21" s="190" t="str">
        <f>IF('01-KHZG Kriterien'!$T$8&gt;0,"nok",IF(SUM('01-KHZG Kriterien'!$P$8:$S$8)=0,"ok","offen"))</f>
        <v>offen</v>
      </c>
      <c r="D21" s="191">
        <f>IF(C21="nok","n/a",SUM('01-KHZG Kriterien'!L:L))</f>
        <v>0</v>
      </c>
      <c r="E21" s="189">
        <f>SUM('01-KHZG Kriterien'!J:J)</f>
        <v>11</v>
      </c>
      <c r="F21" s="192" t="s">
        <v>1064</v>
      </c>
      <c r="G21" s="193" t="str">
        <f>CONCATENATE('01-KHZG Kriterien'!$C$5," ",'01-KHZG Kriterien'!$C$6," ",'01-KHZG Kriterien'!$C$7)</f>
        <v>Sie haben 11 Fragen noch nicht beantwortet. Bitte machen Sie Ihre Angaben in allen noch offenen von 'Bieter/in' auszufüllenden Feldern 'Auskunft' und optional 'Kommentar'. Bitte beantworten Sie alle offenen Fragen. Es wurden 0 von 3 B-Kriterien beantwortet und 0 von möglichen 11 Punkten erreicht.</v>
      </c>
      <c r="H21" s="188"/>
      <c r="I21" s="355"/>
      <c r="J21" s="355"/>
      <c r="K21" s="355"/>
      <c r="L21" s="355"/>
      <c r="M21" s="355"/>
      <c r="N21" s="355"/>
    </row>
    <row r="22" spans="1:14" s="162" customFormat="1" ht="39.6">
      <c r="A22" s="187"/>
      <c r="B22" s="193" t="s">
        <v>1065</v>
      </c>
      <c r="C22" s="190" t="str">
        <f>IF('02-Generelle Anforderungen'!$T$8&gt;0,"nok",IF(SUM('02-Generelle Anforderungen'!$P$8:$S$8)=0,"ok","offen"))</f>
        <v>offen</v>
      </c>
      <c r="D22" s="191">
        <f>IF(C22="nok","n/a",SUM('02-Generelle Anforderungen'!L:L))</f>
        <v>0</v>
      </c>
      <c r="E22" s="189">
        <f>SUM('02-Generelle Anforderungen'!J:J)</f>
        <v>23</v>
      </c>
      <c r="F22" s="192" t="s">
        <v>1064</v>
      </c>
      <c r="G22" s="193" t="str">
        <f>CONCATENATE('02-Generelle Anforderungen'!$C$5," ",'02-Generelle Anforderungen'!$C$6," ",'02-Generelle Anforderungen'!$C$7)</f>
        <v>Sie haben 17 Fragen noch nicht beantwortet. Bitte machen Sie Ihre Angaben in allen noch offenen von 'Bieter/in' auszufüllenden Feldern 'Auskunft' und optional 'Kommentar'. Bitte beantworten Sie alle offenen Fragen. Es wurden 0 von 7 B-Kriterien beantwortet und 0 von möglichen 23 Punkten erreicht.</v>
      </c>
      <c r="H22" s="188"/>
      <c r="I22" s="355"/>
      <c r="J22" s="355"/>
      <c r="K22" s="355"/>
      <c r="L22" s="355"/>
      <c r="M22" s="355"/>
      <c r="N22" s="355"/>
    </row>
    <row r="23" spans="1:14" s="162" customFormat="1" ht="39.6">
      <c r="A23" s="187"/>
      <c r="B23" s="193" t="s">
        <v>1066</v>
      </c>
      <c r="C23" s="190" t="str">
        <f>IF('03-Basisfunktionalitäten'!$T$8&gt;0,"nok",IF(SUM('03-Basisfunktionalitäten'!$P$8:$S$8)=0,"ok","offen"))</f>
        <v>offen</v>
      </c>
      <c r="D23" s="191">
        <f>IF(C21="nok","n/a",SUM('03-Basisfunktionalitäten'!L:L))</f>
        <v>0</v>
      </c>
      <c r="E23" s="189">
        <f>SUM('03-Basisfunktionalitäten'!J:J)</f>
        <v>59</v>
      </c>
      <c r="F23" s="192" t="s">
        <v>1064</v>
      </c>
      <c r="G23" s="193" t="str">
        <f>CONCATENATE('03-Basisfunktionalitäten'!$C$5," ",'03-Basisfunktionalitäten'!$C$6," ",'03-Basisfunktionalitäten'!$C$7)</f>
        <v>Sie haben 77 Fragen noch nicht beantwortet. Bitte machen Sie Ihre Angaben in allen noch offenen von 'Bieter/in' auszufüllenden Feldern 'Auskunft' und optional 'Kommentar'. Bitte beantworten Sie alle offenen Fragen. Es wurden 0 von 47 B-Kriterien beantwortet und 0 von möglichen 59 Punkten erreicht.</v>
      </c>
      <c r="H23" s="188"/>
      <c r="I23" s="355"/>
      <c r="J23" s="355"/>
      <c r="K23" s="355"/>
      <c r="L23" s="355"/>
      <c r="M23" s="355"/>
      <c r="N23" s="355"/>
    </row>
    <row r="24" spans="1:14" s="162" customFormat="1" ht="39.6">
      <c r="A24" s="187"/>
      <c r="B24" s="193" t="s">
        <v>1067</v>
      </c>
      <c r="C24" s="190" t="str">
        <f>IF('04-Funktionale Anforderungen'!$T$8&gt;0,"nok",IF(SUM('04-Funktionale Anforderungen'!$P$8:$S$8)=0,"ok","offen"))</f>
        <v>offen</v>
      </c>
      <c r="D24" s="191">
        <f>IF(C24="nok","n/a",SUM('04-Funktionale Anforderungen'!L:L))</f>
        <v>0</v>
      </c>
      <c r="E24" s="189">
        <f>SUM('04-Funktionale Anforderungen'!J:J)</f>
        <v>252</v>
      </c>
      <c r="F24" s="192" t="s">
        <v>1064</v>
      </c>
      <c r="G24" s="193" t="str">
        <f>CONCATENATE('04-Funktionale Anforderungen'!$C$5," ",'04-Funktionale Anforderungen'!$C$6," ",'04-Funktionale Anforderungen'!$C$7)</f>
        <v>Sie haben 136 Fragen noch nicht beantwortet. Bitte machen Sie Ihre Angaben in allen noch offenen von 'Bieter/in' auszufüllenden Feldern 'Auskunft' und optional 'Kommentar'. Bitte beantworten Sie alle offenen Fragen. Es wurden 0 von 108 B-Kriterien beantwortet und 0 von möglichen 252 Punkten erreicht.</v>
      </c>
      <c r="H24" s="188"/>
      <c r="I24" s="355"/>
      <c r="J24" s="355"/>
      <c r="K24" s="355"/>
      <c r="L24" s="355"/>
      <c r="M24" s="355"/>
      <c r="N24" s="355"/>
    </row>
    <row r="25" spans="1:14" s="162" customFormat="1" ht="39.6">
      <c r="A25" s="187"/>
      <c r="B25" s="193" t="s">
        <v>1068</v>
      </c>
      <c r="C25" s="190" t="str">
        <f>IF('05-Datenschutz &amp; Informations.'!$T$8&gt;0,"nok",IF(SUM('05-Datenschutz &amp; Informations.'!$P$8:$S$8)=0,"ok","offen"))</f>
        <v>offen</v>
      </c>
      <c r="D25" s="191">
        <f>IF(C25="nok","n/a",SUM('05-Datenschutz &amp; Informations.'!L:L))</f>
        <v>0</v>
      </c>
      <c r="E25" s="189">
        <f>SUM('05-Datenschutz &amp; Informations.'!J:J)</f>
        <v>20</v>
      </c>
      <c r="F25" s="192" t="s">
        <v>1064</v>
      </c>
      <c r="G25" s="193" t="str">
        <f>CONCATENATE('05-Datenschutz &amp; Informations.'!$C$5," ",'05-Datenschutz &amp; Informations.'!$C$6," ",'05-Datenschutz &amp; Informations.'!$C$7)</f>
        <v>Sie haben 12 Fragen noch nicht beantwortet. Bitte machen Sie Ihre Angaben in allen noch offenen von 'Bieter/in' auszufüllenden Feldern 'Auskunft' und optional 'Kommentar'. Bitte beantworten Sie alle offenen Fragen. Es wurden 0 von 4 B-Kriterien beantwortet und 0 von möglichen 20 Punkten erreicht.</v>
      </c>
      <c r="H25" s="188"/>
      <c r="I25" s="355"/>
      <c r="J25" s="355"/>
      <c r="K25" s="355"/>
      <c r="L25" s="355"/>
      <c r="M25" s="355"/>
      <c r="N25" s="355"/>
    </row>
    <row r="26" spans="1:14" s="162" customFormat="1" ht="26.4">
      <c r="A26" s="187"/>
      <c r="B26" s="343" t="s">
        <v>1069</v>
      </c>
      <c r="C26" s="335" t="str">
        <f>IF(AND(C21="ok",C22="ok",C23="ok",C24="ok",C25="ok"),"ok",IF(OR(C21="nok",C22="nok",C23="nok",C24="nok",C25="nok"),"nok","offen"))</f>
        <v>offen</v>
      </c>
      <c r="D26" s="194">
        <f>IF(C26="nok","n/a",SUM(D21:D25))</f>
        <v>0</v>
      </c>
      <c r="E26" s="161">
        <f>SUM(E21:E25)</f>
        <v>365</v>
      </c>
      <c r="F26" s="163">
        <f>IF(D26="n/a","n/a",D26/E26)</f>
        <v>0</v>
      </c>
      <c r="G26" s="193" t="str">
        <f>IF(C26="nok","Sie haben sich nicht für die weitere Teilnahme am Verfahren qualifiziert.",IF(C26="ok","Sie haben sich für die weitere Teilnahme am Verfahren qualifiziert.","Es sind noch Fragen offen."))</f>
        <v>Es sind noch Fragen offen.</v>
      </c>
      <c r="H26" s="188"/>
      <c r="I26" s="355"/>
      <c r="J26" s="355"/>
      <c r="K26" s="355"/>
      <c r="L26" s="355"/>
      <c r="M26" s="355"/>
      <c r="N26" s="355"/>
    </row>
    <row r="27" spans="1:14" s="162" customFormat="1" ht="39.6">
      <c r="A27" s="187"/>
      <c r="B27" s="343" t="s">
        <v>1070</v>
      </c>
      <c r="C27" s="190" t="str">
        <f>IF('K - Konzepte'!$T$45&gt;0,"nok",IF(SUM('K - Konzepte'!$P$45:$S$45)=0,"ok","offen"))</f>
        <v>offen</v>
      </c>
      <c r="D27" s="194">
        <f>IF(C27="nok","n/a",SUM('K - Konzepte'!L:L))</f>
        <v>0</v>
      </c>
      <c r="E27" s="161">
        <f>SUM('K - Konzepte'!J:J)</f>
        <v>35</v>
      </c>
      <c r="F27" s="163">
        <f>IF(D27="n/a","n/a",D27/E27)</f>
        <v>0</v>
      </c>
      <c r="G27" s="193" t="str">
        <f>CONCATENATE('K - Konzepte'!$C$5," ",'K - Konzepte'!$C$6," ",'K - Konzepte'!$C$7)</f>
        <v>Sie haben 7 Fragen noch nicht beantwortet. Bitte machen Sie Ihre Angaben in allen noch offenen von 'Bieter/in' auszufüllenden Feldern 'Auskunft' und optional 'Kommentar'. Bitte beantworten Sie alle offenen Fragen. Es wurden 0 von 7 B-Kriterien beantwortet und 0 von möglichen 35 Punkten erreicht.</v>
      </c>
      <c r="H27" s="188"/>
      <c r="I27" s="355"/>
      <c r="J27" s="355"/>
      <c r="K27" s="355"/>
      <c r="L27" s="355"/>
      <c r="M27" s="355"/>
      <c r="N27" s="355"/>
    </row>
    <row r="28" spans="1:14" s="162" customFormat="1" ht="41.4" customHeight="1">
      <c r="A28" s="187"/>
      <c r="B28" s="343" t="s">
        <v>1071</v>
      </c>
      <c r="C28" s="190" t="str">
        <f>IF('B - Bieterpräsentation'!$T$37&gt;0,"nok",IF(SUM('B - Bieterpräsentation'!$P$37:$S$37)=0,"ok","offen"))</f>
        <v>offen</v>
      </c>
      <c r="D28" s="194">
        <f>IF(C28="nok","n/a",SUM('B - Bieterpräsentation'!L:L))</f>
        <v>0</v>
      </c>
      <c r="E28" s="304">
        <f>SUM('B - Bieterpräsentation'!J:J)</f>
        <v>90</v>
      </c>
      <c r="F28" s="163">
        <f>IF(D28="n/a","n/a",D28/E28)</f>
        <v>0</v>
      </c>
      <c r="G28" s="193" t="str">
        <f>CONCATENATE('B - Bieterpräsentation'!C5," ",'B - Bieterpräsentation'!C6," ",'B - Bieterpräsentation'!C7)</f>
        <v>Sie haben alle Fragen beantwortet. Es müssen noch 18 Fragen durch die/den Auftragsgeber/in beantwortet werden. Sie erfüllen alle A-Kriterien und haben sich zur Teilnahme am weiteren Verfahren qualifiziert. Es wurden 0 von 18 B-Kriterien beantwortet und 0 von möglichen 90 Punkten erreicht.</v>
      </c>
      <c r="H28" s="188"/>
      <c r="I28" s="355"/>
      <c r="J28" s="355"/>
      <c r="K28" s="355"/>
      <c r="L28" s="355"/>
      <c r="M28" s="355"/>
      <c r="N28" s="355"/>
    </row>
    <row r="29" spans="1:14" ht="15" customHeight="1" thickBot="1">
      <c r="A29" s="173"/>
      <c r="B29" s="164"/>
      <c r="C29" s="195"/>
      <c r="D29" s="165"/>
      <c r="E29" s="166"/>
      <c r="F29" s="166"/>
      <c r="G29" s="179"/>
      <c r="H29" s="180"/>
      <c r="I29" s="174"/>
      <c r="J29" s="174"/>
      <c r="K29" s="174"/>
      <c r="L29" s="174"/>
      <c r="M29" s="174"/>
      <c r="N29" s="174"/>
    </row>
    <row r="30" spans="1:14" s="162" customFormat="1" ht="15" customHeight="1" thickBot="1">
      <c r="A30" s="187"/>
      <c r="B30" s="344" t="s">
        <v>1072</v>
      </c>
      <c r="C30" s="196" t="str">
        <f>IF(AND(C26="ok",C27="ok",C28="ok"),"ok",IF(OR(C26="nok",C27="nok",C28="nok"),"nok","offen"))</f>
        <v>offen</v>
      </c>
      <c r="D30" s="167">
        <f>F26*C15+F27*C16+F28*C17</f>
        <v>0</v>
      </c>
      <c r="E30" s="167">
        <v>1</v>
      </c>
      <c r="F30" s="167">
        <f>D30/E30</f>
        <v>0</v>
      </c>
      <c r="G30" s="197" t="str">
        <f>IF(C30="nok","Sie haben sich nicht für die weitere Teilnahme am Verfahren qualifiziert.",IF(C30="ok","Sie haben sich für die weitere Teilnahme am Verfahren qualifiziert.","Es sind noch Fragen offen."))</f>
        <v>Es sind noch Fragen offen.</v>
      </c>
      <c r="H30" s="188"/>
      <c r="I30" s="355"/>
      <c r="J30" s="355"/>
      <c r="K30" s="355"/>
      <c r="L30" s="355"/>
      <c r="M30" s="355"/>
      <c r="N30" s="355"/>
    </row>
    <row r="31" spans="1:14" ht="15" customHeight="1">
      <c r="A31" s="173"/>
      <c r="B31" s="186"/>
      <c r="C31" s="186"/>
      <c r="D31" s="179"/>
      <c r="E31" s="179"/>
      <c r="F31" s="179"/>
      <c r="G31" s="179"/>
      <c r="H31" s="180"/>
      <c r="I31" s="174"/>
      <c r="J31" s="174"/>
      <c r="K31" s="174"/>
      <c r="L31" s="174"/>
      <c r="M31" s="174"/>
      <c r="N31" s="174"/>
    </row>
    <row r="32" spans="1:14">
      <c r="A32" s="173"/>
      <c r="B32" s="182"/>
      <c r="C32" s="198"/>
      <c r="D32" s="198"/>
      <c r="E32" s="198"/>
      <c r="F32" s="198"/>
      <c r="G32" s="198"/>
      <c r="H32" s="180"/>
      <c r="I32" s="174"/>
      <c r="J32" s="174"/>
      <c r="K32" s="174"/>
      <c r="L32" s="174"/>
      <c r="M32" s="174"/>
      <c r="N32" s="174"/>
    </row>
    <row r="33" spans="1:8">
      <c r="A33" s="173"/>
      <c r="B33" s="177" t="s">
        <v>1073</v>
      </c>
      <c r="C33" s="177"/>
      <c r="D33" s="177"/>
      <c r="E33" s="177"/>
      <c r="F33" s="177"/>
      <c r="G33" s="177"/>
      <c r="H33" s="177"/>
    </row>
    <row r="34" spans="1:8">
      <c r="A34" s="173"/>
      <c r="B34" s="199" t="str">
        <f>CONCATENATE("Der Preis / die Gesamtsumme Ihres Angebots beträgt ",TEXT('P - Preisblatt'!I46,"#.##0,00 €"),".")</f>
        <v>Der Preis / die Gesamtsumme Ihres Angebots beträgt 0,00 €.</v>
      </c>
      <c r="C34" s="199"/>
      <c r="D34" s="199"/>
      <c r="E34" s="199"/>
      <c r="F34" s="199"/>
      <c r="G34" s="199"/>
      <c r="H34" s="180"/>
    </row>
    <row r="35" spans="1:8">
      <c r="A35" s="173"/>
      <c r="B35" s="180"/>
      <c r="C35" s="180"/>
      <c r="D35" s="180"/>
      <c r="E35" s="180"/>
      <c r="F35" s="180"/>
      <c r="G35" s="180"/>
      <c r="H35" s="180"/>
    </row>
    <row r="36" spans="1:8">
      <c r="A36" s="173"/>
      <c r="B36" s="177" t="s">
        <v>1074</v>
      </c>
      <c r="C36" s="177"/>
      <c r="D36" s="177"/>
      <c r="E36" s="177"/>
      <c r="F36" s="177"/>
      <c r="G36" s="177"/>
      <c r="H36" s="177"/>
    </row>
    <row r="37" spans="1:8" ht="108" customHeight="1">
      <c r="A37" s="173"/>
      <c r="B37" s="362" t="s">
        <v>1075</v>
      </c>
      <c r="C37" s="362"/>
      <c r="D37" s="362"/>
      <c r="E37" s="362"/>
      <c r="F37" s="362"/>
      <c r="G37" s="362"/>
      <c r="H37" s="180"/>
    </row>
    <row r="38" spans="1:8">
      <c r="A38" s="173"/>
      <c r="B38" s="339" t="s">
        <v>1076</v>
      </c>
      <c r="C38" s="200"/>
      <c r="D38" s="291">
        <v>0.6</v>
      </c>
      <c r="E38" s="201"/>
      <c r="F38" s="201"/>
      <c r="G38" s="179"/>
      <c r="H38" s="180"/>
    </row>
    <row r="39" spans="1:8">
      <c r="A39" s="173"/>
      <c r="B39" s="202" t="s">
        <v>1077</v>
      </c>
      <c r="C39" s="200"/>
      <c r="D39" s="291">
        <f>D30</f>
        <v>0</v>
      </c>
      <c r="E39" s="201"/>
      <c r="F39" s="201"/>
      <c r="G39" s="179"/>
      <c r="H39" s="180"/>
    </row>
    <row r="40" spans="1:8">
      <c r="A40" s="173"/>
      <c r="B40" s="202" t="s">
        <v>1078</v>
      </c>
      <c r="C40" s="200"/>
      <c r="D40" s="291">
        <f>E30</f>
        <v>1</v>
      </c>
      <c r="E40" s="201"/>
      <c r="F40" s="201"/>
      <c r="G40" s="179"/>
      <c r="H40" s="180"/>
    </row>
    <row r="41" spans="1:8">
      <c r="A41" s="173"/>
      <c r="B41" s="339" t="s">
        <v>1079</v>
      </c>
      <c r="C41" s="200"/>
      <c r="D41" s="291">
        <v>0.4</v>
      </c>
      <c r="E41" s="201"/>
      <c r="F41" s="201"/>
      <c r="G41" s="179"/>
      <c r="H41" s="180"/>
    </row>
    <row r="42" spans="1:8">
      <c r="A42" s="173"/>
      <c r="B42" s="202" t="s">
        <v>1080</v>
      </c>
      <c r="C42" s="200"/>
      <c r="D42" s="340">
        <f>'P - Preisblatt'!I46</f>
        <v>0</v>
      </c>
      <c r="E42" s="201"/>
      <c r="F42" s="201"/>
      <c r="G42" s="179"/>
      <c r="H42" s="180"/>
    </row>
    <row r="43" spans="1:8">
      <c r="A43" s="173"/>
      <c r="B43" s="202" t="s">
        <v>1081</v>
      </c>
      <c r="C43" s="200"/>
      <c r="D43" s="340"/>
      <c r="E43" s="341" t="s">
        <v>1082</v>
      </c>
      <c r="F43" s="201"/>
      <c r="G43" s="179"/>
      <c r="H43" s="180"/>
    </row>
    <row r="44" spans="1:8">
      <c r="A44" s="173"/>
      <c r="B44" s="168" t="s">
        <v>1083</v>
      </c>
      <c r="C44" s="204"/>
      <c r="D44" s="342" t="e">
        <f>D38*D39/D40+D41*D43/D42</f>
        <v>#DIV/0!</v>
      </c>
      <c r="E44" s="203"/>
      <c r="F44" s="203"/>
      <c r="G44" s="179"/>
      <c r="H44" s="180"/>
    </row>
    <row r="45" spans="1:8">
      <c r="A45" s="173"/>
      <c r="B45" s="179"/>
      <c r="C45" s="179"/>
      <c r="D45" s="179"/>
      <c r="E45" s="179"/>
      <c r="F45" s="179"/>
      <c r="G45" s="179"/>
      <c r="H45" s="180"/>
    </row>
    <row r="46" spans="1:8">
      <c r="A46" s="173"/>
      <c r="B46" s="179"/>
      <c r="C46" s="179"/>
      <c r="D46" s="179"/>
      <c r="E46" s="179"/>
      <c r="F46" s="179"/>
      <c r="G46" s="179"/>
      <c r="H46" s="180"/>
    </row>
  </sheetData>
  <sheetProtection algorithmName="SHA-512" hashValue="wBJz8bMUgjxtOwkNJF/yc/jlnxkurCGudSUgrpH9FZfl6dh1SpPHo+2nExWH9//f0jIBCaadeR2J5Oidd3wHTA==" saltValue="6pyJZhRrEQ5yegUrcQqTBg==" spinCount="100000" sheet="1" objects="1" scenarios="1" selectLockedCells="1"/>
  <mergeCells count="4">
    <mergeCell ref="B5:G5"/>
    <mergeCell ref="B7:G7"/>
    <mergeCell ref="B8:G8"/>
    <mergeCell ref="B37:G37"/>
  </mergeCells>
  <conditionalFormatting sqref="C21:C28">
    <cfRule type="expression" dxfId="6" priority="2">
      <formula>$C21="nok"</formula>
    </cfRule>
    <cfRule type="expression" dxfId="5" priority="3">
      <formula>$C21="offen"</formula>
    </cfRule>
    <cfRule type="expression" dxfId="4" priority="4">
      <formula>$C21="ok"</formula>
    </cfRule>
  </conditionalFormatting>
  <conditionalFormatting sqref="C30">
    <cfRule type="expression" dxfId="3" priority="5">
      <formula>$C30="ok"</formula>
    </cfRule>
    <cfRule type="expression" dxfId="2" priority="6">
      <formula>$C30="offen"</formula>
    </cfRule>
    <cfRule type="expression" dxfId="1" priority="7">
      <formula>C30="nok"</formula>
    </cfRule>
  </conditionalFormatting>
  <conditionalFormatting sqref="I1">
    <cfRule type="expression" dxfId="0" priority="1">
      <formula>$B1="B-Kriterium"</formula>
    </cfRule>
  </conditionalFormatting>
  <pageMargins left="0.7" right="0.7" top="0.78740157499999996" bottom="0.78740157499999996"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07C0DA"/>
  </sheetPr>
  <dimension ref="A1:BH54"/>
  <sheetViews>
    <sheetView showGridLines="0" zoomScale="98" zoomScaleNormal="98" workbookViewId="0">
      <selection activeCell="C45" sqref="C45"/>
    </sheetView>
  </sheetViews>
  <sheetFormatPr baseColWidth="10" defaultColWidth="10.44140625" defaultRowHeight="13.2"/>
  <cols>
    <col min="1" max="1" width="11.44140625" style="15" customWidth="1"/>
    <col min="2" max="2" width="47.44140625" style="15" customWidth="1"/>
    <col min="3" max="3" width="15.44140625" style="20" bestFit="1" customWidth="1"/>
    <col min="4" max="4" width="16.44140625" style="20" bestFit="1" customWidth="1"/>
    <col min="5" max="5" width="16.44140625" style="20" customWidth="1"/>
    <col min="6" max="6" width="13.44140625" style="20" customWidth="1"/>
    <col min="7" max="7" width="10.44140625" style="20"/>
    <col min="8" max="8" width="13.44140625" style="20" bestFit="1" customWidth="1"/>
    <col min="9" max="21" width="16.44140625" style="20" bestFit="1" customWidth="1"/>
    <col min="22" max="22" width="16.44140625" style="20" customWidth="1"/>
    <col min="23" max="41" width="30.44140625" style="20" customWidth="1"/>
    <col min="42" max="42" width="11.44140625" style="15" bestFit="1" customWidth="1"/>
    <col min="43" max="43" width="22.44140625" style="15" bestFit="1" customWidth="1"/>
    <col min="44" max="44" width="13.44140625" style="15" bestFit="1" customWidth="1"/>
    <col min="45" max="46" width="18.44140625" style="15" bestFit="1" customWidth="1"/>
    <col min="47" max="48" width="10.44140625" style="15"/>
    <col min="49" max="50" width="9.44140625" style="15" bestFit="1" customWidth="1"/>
    <col min="51" max="51" width="18.44140625" style="15" bestFit="1" customWidth="1"/>
    <col min="52" max="52" width="45.44140625" style="15" bestFit="1" customWidth="1"/>
    <col min="53" max="54" width="9.44140625" style="15" bestFit="1" customWidth="1"/>
    <col min="55" max="55" width="18.44140625" style="15" bestFit="1" customWidth="1"/>
    <col min="56" max="56" width="45.44140625" style="15" bestFit="1" customWidth="1"/>
    <col min="57" max="57" width="9.44140625" style="15" bestFit="1" customWidth="1"/>
    <col min="58" max="58" width="10.44140625" style="15"/>
    <col min="59" max="59" width="18.44140625" style="15" bestFit="1" customWidth="1"/>
    <col min="60" max="60" width="45.44140625" style="15" bestFit="1" customWidth="1"/>
    <col min="61" max="16384" width="10.44140625" style="15"/>
  </cols>
  <sheetData>
    <row r="1" spans="1:60" ht="82.2" customHeight="1">
      <c r="A1" s="63"/>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46"/>
    </row>
    <row r="2" spans="1:60" s="60" customForma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row>
    <row r="3" spans="1:60" s="92" customFormat="1" ht="38.25" customHeight="1">
      <c r="A3" s="91"/>
      <c r="B3" s="90" t="s">
        <v>14</v>
      </c>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row>
    <row r="4" spans="1:60" s="60" customFormat="1">
      <c r="A4" s="59"/>
      <c r="B4" s="107"/>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9"/>
      <c r="AX4" s="109"/>
      <c r="AY4" s="109"/>
      <c r="AZ4" s="109"/>
      <c r="BA4" s="109"/>
      <c r="BB4" s="109"/>
      <c r="BC4" s="109"/>
    </row>
    <row r="5" spans="1:60" s="19" customFormat="1">
      <c r="A5" s="59"/>
      <c r="B5" s="110" t="s">
        <v>15</v>
      </c>
      <c r="C5" s="111" t="s">
        <v>16</v>
      </c>
      <c r="D5" s="111" t="s">
        <v>17</v>
      </c>
      <c r="E5" s="112" t="s">
        <v>18</v>
      </c>
      <c r="F5" s="113" t="s">
        <v>19</v>
      </c>
      <c r="G5" s="111" t="s">
        <v>20</v>
      </c>
      <c r="H5" s="114" t="s">
        <v>21</v>
      </c>
      <c r="I5" s="111" t="s">
        <v>22</v>
      </c>
      <c r="J5" s="111" t="s">
        <v>23</v>
      </c>
      <c r="K5" s="111" t="s">
        <v>24</v>
      </c>
      <c r="L5" s="111" t="s">
        <v>25</v>
      </c>
      <c r="M5" s="111" t="s">
        <v>26</v>
      </c>
      <c r="N5" s="111" t="s">
        <v>27</v>
      </c>
      <c r="O5" s="111" t="s">
        <v>28</v>
      </c>
      <c r="P5" s="111" t="s">
        <v>29</v>
      </c>
      <c r="Q5" s="111" t="s">
        <v>30</v>
      </c>
      <c r="R5" s="111" t="s">
        <v>31</v>
      </c>
      <c r="S5" s="111" t="s">
        <v>32</v>
      </c>
      <c r="T5" s="111" t="s">
        <v>33</v>
      </c>
      <c r="U5" s="111" t="s">
        <v>34</v>
      </c>
      <c r="V5" s="111" t="s">
        <v>35</v>
      </c>
      <c r="W5" s="133" t="s">
        <v>36</v>
      </c>
      <c r="X5" s="133" t="s">
        <v>37</v>
      </c>
      <c r="Y5" s="133" t="s">
        <v>38</v>
      </c>
      <c r="Z5" s="133" t="s">
        <v>39</v>
      </c>
      <c r="AA5" s="133" t="s">
        <v>40</v>
      </c>
      <c r="AB5" s="133" t="s">
        <v>41</v>
      </c>
      <c r="AC5" s="133" t="s">
        <v>42</v>
      </c>
      <c r="AD5" s="133" t="s">
        <v>43</v>
      </c>
      <c r="AE5" s="133" t="s">
        <v>44</v>
      </c>
      <c r="AF5" s="133" t="s">
        <v>45</v>
      </c>
      <c r="AG5" s="133" t="s">
        <v>46</v>
      </c>
      <c r="AH5" s="133" t="s">
        <v>47</v>
      </c>
      <c r="AI5" s="133" t="s">
        <v>48</v>
      </c>
      <c r="AJ5" s="133" t="s">
        <v>49</v>
      </c>
      <c r="AK5" s="133" t="s">
        <v>50</v>
      </c>
      <c r="AL5" s="133" t="s">
        <v>51</v>
      </c>
      <c r="AM5" s="133" t="s">
        <v>52</v>
      </c>
      <c r="AN5" s="133" t="s">
        <v>53</v>
      </c>
      <c r="AO5" s="133" t="s">
        <v>54</v>
      </c>
      <c r="AP5" s="111" t="s">
        <v>55</v>
      </c>
      <c r="AQ5" s="111" t="s">
        <v>56</v>
      </c>
      <c r="AR5" s="111" t="s">
        <v>57</v>
      </c>
      <c r="AS5" s="111" t="s">
        <v>58</v>
      </c>
      <c r="AT5" s="111" t="s">
        <v>59</v>
      </c>
      <c r="AU5" s="111" t="s">
        <v>60</v>
      </c>
      <c r="AV5" s="137" t="s">
        <v>61</v>
      </c>
      <c r="AW5" s="137" t="s">
        <v>62</v>
      </c>
      <c r="AX5" s="137" t="s">
        <v>63</v>
      </c>
      <c r="AY5" s="137" t="s">
        <v>64</v>
      </c>
      <c r="AZ5" s="137" t="s">
        <v>65</v>
      </c>
      <c r="BA5" s="137" t="s">
        <v>66</v>
      </c>
      <c r="BB5" s="137" t="s">
        <v>67</v>
      </c>
      <c r="BC5" s="137" t="s">
        <v>68</v>
      </c>
      <c r="BD5" s="137" t="s">
        <v>69</v>
      </c>
      <c r="BE5" s="137" t="s">
        <v>70</v>
      </c>
      <c r="BF5" s="137" t="s">
        <v>71</v>
      </c>
      <c r="BG5" s="137" t="s">
        <v>72</v>
      </c>
      <c r="BH5" s="137" t="s">
        <v>73</v>
      </c>
    </row>
    <row r="6" spans="1:60" ht="26.4">
      <c r="A6" s="59"/>
      <c r="B6" s="115" t="s">
        <v>74</v>
      </c>
      <c r="C6" s="99" t="s">
        <v>75</v>
      </c>
      <c r="D6" s="116" t="s">
        <v>75</v>
      </c>
      <c r="E6" s="99" t="s">
        <v>76</v>
      </c>
      <c r="F6" s="117"/>
      <c r="G6" s="99" t="s">
        <v>4</v>
      </c>
      <c r="H6" s="118" t="s">
        <v>77</v>
      </c>
      <c r="I6" s="118" t="s">
        <v>78</v>
      </c>
      <c r="J6" s="118" t="s">
        <v>79</v>
      </c>
      <c r="K6" s="118" t="s">
        <v>80</v>
      </c>
      <c r="L6" s="118" t="s">
        <v>81</v>
      </c>
      <c r="M6" s="118" t="s">
        <v>81</v>
      </c>
      <c r="N6" s="118" t="s">
        <v>81</v>
      </c>
      <c r="O6" s="118" t="s">
        <v>81</v>
      </c>
      <c r="P6" s="118" t="s">
        <v>81</v>
      </c>
      <c r="Q6" s="118" t="s">
        <v>81</v>
      </c>
      <c r="R6" s="118" t="s">
        <v>81</v>
      </c>
      <c r="S6" s="118" t="s">
        <v>81</v>
      </c>
      <c r="T6" s="118" t="s">
        <v>81</v>
      </c>
      <c r="U6" s="118" t="s">
        <v>81</v>
      </c>
      <c r="V6" s="118" t="s">
        <v>81</v>
      </c>
      <c r="W6" s="134" t="s">
        <v>82</v>
      </c>
      <c r="X6" s="134" t="s">
        <v>83</v>
      </c>
      <c r="Y6" s="134" t="s">
        <v>82</v>
      </c>
      <c r="Z6" s="134" t="s">
        <v>82</v>
      </c>
      <c r="AA6" s="134" t="s">
        <v>82</v>
      </c>
      <c r="AB6" s="134" t="s">
        <v>82</v>
      </c>
      <c r="AC6" s="134" t="s">
        <v>82</v>
      </c>
      <c r="AD6" s="134" t="s">
        <v>82</v>
      </c>
      <c r="AE6" s="134" t="s">
        <v>82</v>
      </c>
      <c r="AF6" s="134" t="s">
        <v>82</v>
      </c>
      <c r="AG6" s="134" t="s">
        <v>82</v>
      </c>
      <c r="AH6" s="134" t="s">
        <v>82</v>
      </c>
      <c r="AI6" s="134" t="s">
        <v>82</v>
      </c>
      <c r="AJ6" s="134" t="s">
        <v>82</v>
      </c>
      <c r="AK6" s="134" t="s">
        <v>82</v>
      </c>
      <c r="AL6" s="134" t="s">
        <v>82</v>
      </c>
      <c r="AM6" s="134" t="s">
        <v>82</v>
      </c>
      <c r="AN6" s="134" t="s">
        <v>82</v>
      </c>
      <c r="AO6" s="134" t="s">
        <v>82</v>
      </c>
      <c r="AP6" s="118" t="s">
        <v>84</v>
      </c>
      <c r="AQ6" s="119" t="s">
        <v>85</v>
      </c>
      <c r="AR6" s="119" t="s">
        <v>86</v>
      </c>
      <c r="AS6" s="119" t="s">
        <v>87</v>
      </c>
      <c r="AT6" s="119" t="s">
        <v>87</v>
      </c>
      <c r="AU6" s="118">
        <v>0</v>
      </c>
      <c r="AV6" s="118" t="s">
        <v>88</v>
      </c>
      <c r="AW6" s="118" t="s">
        <v>89</v>
      </c>
      <c r="AX6" s="118" t="s">
        <v>90</v>
      </c>
      <c r="AY6" s="118" t="s">
        <v>91</v>
      </c>
      <c r="AZ6" s="118" t="s">
        <v>92</v>
      </c>
      <c r="BA6" s="118" t="s">
        <v>89</v>
      </c>
      <c r="BB6" s="118" t="s">
        <v>90</v>
      </c>
      <c r="BC6" s="118" t="s">
        <v>91</v>
      </c>
      <c r="BD6" s="118" t="s">
        <v>92</v>
      </c>
      <c r="BE6" s="118" t="s">
        <v>89</v>
      </c>
      <c r="BF6" s="118" t="s">
        <v>90</v>
      </c>
      <c r="BG6" s="118" t="s">
        <v>91</v>
      </c>
      <c r="BH6" s="118" t="s">
        <v>92</v>
      </c>
    </row>
    <row r="7" spans="1:60" ht="26.4">
      <c r="A7" s="59"/>
      <c r="B7" s="115" t="s">
        <v>93</v>
      </c>
      <c r="C7" s="116" t="s">
        <v>94</v>
      </c>
      <c r="D7" s="116" t="s">
        <v>94</v>
      </c>
      <c r="E7" s="99" t="s">
        <v>95</v>
      </c>
      <c r="F7" s="99" t="s">
        <v>20</v>
      </c>
      <c r="G7" s="99" t="s">
        <v>96</v>
      </c>
      <c r="H7" s="118" t="s">
        <v>97</v>
      </c>
      <c r="I7" s="118" t="s">
        <v>98</v>
      </c>
      <c r="J7" s="118" t="s">
        <v>99</v>
      </c>
      <c r="K7" s="118" t="s">
        <v>100</v>
      </c>
      <c r="L7" s="118" t="s">
        <v>101</v>
      </c>
      <c r="M7" s="118" t="s">
        <v>101</v>
      </c>
      <c r="N7" s="118" t="s">
        <v>101</v>
      </c>
      <c r="O7" s="118" t="s">
        <v>101</v>
      </c>
      <c r="P7" s="118" t="s">
        <v>101</v>
      </c>
      <c r="Q7" s="118" t="s">
        <v>101</v>
      </c>
      <c r="R7" s="118" t="s">
        <v>101</v>
      </c>
      <c r="S7" s="118" t="s">
        <v>101</v>
      </c>
      <c r="T7" s="118" t="s">
        <v>101</v>
      </c>
      <c r="U7" s="118" t="s">
        <v>101</v>
      </c>
      <c r="V7" s="118" t="s">
        <v>101</v>
      </c>
      <c r="W7" s="134" t="s">
        <v>102</v>
      </c>
      <c r="X7" s="134" t="s">
        <v>99</v>
      </c>
      <c r="Y7" s="134" t="s">
        <v>102</v>
      </c>
      <c r="Z7" s="134" t="s">
        <v>102</v>
      </c>
      <c r="AA7" s="134" t="s">
        <v>102</v>
      </c>
      <c r="AB7" s="134" t="s">
        <v>102</v>
      </c>
      <c r="AC7" s="134" t="s">
        <v>102</v>
      </c>
      <c r="AD7" s="134" t="s">
        <v>102</v>
      </c>
      <c r="AE7" s="134" t="s">
        <v>102</v>
      </c>
      <c r="AF7" s="134" t="s">
        <v>102</v>
      </c>
      <c r="AG7" s="134" t="s">
        <v>102</v>
      </c>
      <c r="AH7" s="134" t="s">
        <v>102</v>
      </c>
      <c r="AI7" s="134" t="s">
        <v>102</v>
      </c>
      <c r="AJ7" s="134" t="s">
        <v>102</v>
      </c>
      <c r="AK7" s="134" t="s">
        <v>102</v>
      </c>
      <c r="AL7" s="134" t="s">
        <v>102</v>
      </c>
      <c r="AM7" s="134" t="s">
        <v>102</v>
      </c>
      <c r="AN7" s="134" t="s">
        <v>102</v>
      </c>
      <c r="AO7" s="134" t="s">
        <v>102</v>
      </c>
      <c r="AP7" s="118" t="s">
        <v>103</v>
      </c>
      <c r="AQ7" s="120" t="s">
        <v>104</v>
      </c>
      <c r="AR7" s="120" t="s">
        <v>105</v>
      </c>
      <c r="AS7" s="120" t="s">
        <v>106</v>
      </c>
      <c r="AT7" s="120" t="s">
        <v>106</v>
      </c>
      <c r="AU7" s="118">
        <v>25</v>
      </c>
      <c r="AV7" s="118" t="s">
        <v>107</v>
      </c>
      <c r="AW7" s="118" t="s">
        <v>108</v>
      </c>
      <c r="AX7" s="118" t="s">
        <v>109</v>
      </c>
      <c r="AY7" s="118" t="s">
        <v>110</v>
      </c>
      <c r="AZ7" s="118" t="s">
        <v>111</v>
      </c>
      <c r="BA7" s="118" t="s">
        <v>108</v>
      </c>
      <c r="BB7" s="118" t="s">
        <v>109</v>
      </c>
      <c r="BC7" s="118" t="s">
        <v>110</v>
      </c>
      <c r="BD7" s="118" t="s">
        <v>111</v>
      </c>
      <c r="BE7" s="118" t="s">
        <v>108</v>
      </c>
      <c r="BF7" s="118" t="s">
        <v>109</v>
      </c>
      <c r="BG7" s="118" t="s">
        <v>110</v>
      </c>
      <c r="BH7" s="118" t="s">
        <v>111</v>
      </c>
    </row>
    <row r="8" spans="1:60" ht="39.6">
      <c r="A8" s="59"/>
      <c r="B8" s="115" t="s">
        <v>112</v>
      </c>
      <c r="C8" s="116" t="s">
        <v>113</v>
      </c>
      <c r="D8" s="116" t="s">
        <v>113</v>
      </c>
      <c r="E8" s="99"/>
      <c r="F8" s="121" t="s">
        <v>114</v>
      </c>
      <c r="G8" s="99"/>
      <c r="H8" s="118" t="s">
        <v>115</v>
      </c>
      <c r="I8" s="118" t="s">
        <v>116</v>
      </c>
      <c r="J8" s="118" t="s">
        <v>117</v>
      </c>
      <c r="K8" s="118" t="s">
        <v>118</v>
      </c>
      <c r="L8" s="118" t="s">
        <v>119</v>
      </c>
      <c r="M8" s="118" t="s">
        <v>119</v>
      </c>
      <c r="N8" s="118" t="s">
        <v>119</v>
      </c>
      <c r="O8" s="118" t="s">
        <v>119</v>
      </c>
      <c r="P8" s="118" t="s">
        <v>119</v>
      </c>
      <c r="Q8" s="118" t="s">
        <v>119</v>
      </c>
      <c r="R8" s="118" t="s">
        <v>119</v>
      </c>
      <c r="S8" s="118" t="s">
        <v>119</v>
      </c>
      <c r="T8" s="118" t="s">
        <v>119</v>
      </c>
      <c r="U8" s="118" t="s">
        <v>119</v>
      </c>
      <c r="V8" s="118" t="s">
        <v>119</v>
      </c>
      <c r="W8" s="134" t="s">
        <v>120</v>
      </c>
      <c r="X8" s="134" t="s">
        <v>117</v>
      </c>
      <c r="Y8" s="134" t="s">
        <v>120</v>
      </c>
      <c r="Z8" s="134" t="s">
        <v>120</v>
      </c>
      <c r="AA8" s="134" t="s">
        <v>120</v>
      </c>
      <c r="AB8" s="134" t="s">
        <v>120</v>
      </c>
      <c r="AC8" s="134" t="s">
        <v>120</v>
      </c>
      <c r="AD8" s="134" t="s">
        <v>120</v>
      </c>
      <c r="AE8" s="134" t="s">
        <v>120</v>
      </c>
      <c r="AF8" s="134" t="s">
        <v>120</v>
      </c>
      <c r="AG8" s="134" t="s">
        <v>120</v>
      </c>
      <c r="AH8" s="134" t="s">
        <v>120</v>
      </c>
      <c r="AI8" s="134" t="s">
        <v>120</v>
      </c>
      <c r="AJ8" s="134" t="s">
        <v>120</v>
      </c>
      <c r="AK8" s="134" t="s">
        <v>120</v>
      </c>
      <c r="AL8" s="134" t="s">
        <v>120</v>
      </c>
      <c r="AM8" s="134" t="s">
        <v>120</v>
      </c>
      <c r="AN8" s="134" t="s">
        <v>120</v>
      </c>
      <c r="AO8" s="134" t="s">
        <v>120</v>
      </c>
      <c r="AP8" s="118" t="s">
        <v>121</v>
      </c>
      <c r="AQ8" s="118" t="s">
        <v>122</v>
      </c>
      <c r="AR8" s="118" t="s">
        <v>123</v>
      </c>
      <c r="AS8" s="118" t="s">
        <v>124</v>
      </c>
      <c r="AT8" s="118" t="s">
        <v>124</v>
      </c>
      <c r="AU8" s="118">
        <v>50</v>
      </c>
      <c r="AV8" s="118" t="s">
        <v>125</v>
      </c>
      <c r="AW8" s="118" t="s">
        <v>126</v>
      </c>
      <c r="AX8" s="118" t="s">
        <v>127</v>
      </c>
      <c r="AY8" s="118"/>
      <c r="AZ8" s="118"/>
      <c r="BA8" s="118" t="s">
        <v>126</v>
      </c>
      <c r="BB8" s="118" t="s">
        <v>127</v>
      </c>
      <c r="BC8" s="118"/>
      <c r="BD8" s="118"/>
      <c r="BE8" s="118" t="s">
        <v>126</v>
      </c>
      <c r="BF8" s="118" t="s">
        <v>127</v>
      </c>
      <c r="BG8" s="118"/>
      <c r="BH8" s="118"/>
    </row>
    <row r="9" spans="1:60" ht="39.6">
      <c r="A9" s="59"/>
      <c r="B9" s="115" t="s">
        <v>128</v>
      </c>
      <c r="C9" s="99"/>
      <c r="D9" s="99"/>
      <c r="E9" s="99"/>
      <c r="F9" s="99" t="s">
        <v>129</v>
      </c>
      <c r="G9" s="99"/>
      <c r="H9" s="118" t="s">
        <v>130</v>
      </c>
      <c r="I9" s="118" t="s">
        <v>131</v>
      </c>
      <c r="J9" s="118" t="s">
        <v>132</v>
      </c>
      <c r="K9" s="118" t="s">
        <v>133</v>
      </c>
      <c r="L9" s="118" t="s">
        <v>134</v>
      </c>
      <c r="M9" s="118" t="s">
        <v>134</v>
      </c>
      <c r="N9" s="118" t="s">
        <v>134</v>
      </c>
      <c r="O9" s="118" t="s">
        <v>134</v>
      </c>
      <c r="P9" s="118" t="s">
        <v>134</v>
      </c>
      <c r="Q9" s="118" t="s">
        <v>134</v>
      </c>
      <c r="R9" s="118" t="s">
        <v>134</v>
      </c>
      <c r="S9" s="118" t="s">
        <v>134</v>
      </c>
      <c r="T9" s="118" t="s">
        <v>134</v>
      </c>
      <c r="U9" s="118" t="s">
        <v>134</v>
      </c>
      <c r="V9" s="118" t="s">
        <v>134</v>
      </c>
      <c r="W9" s="134" t="s">
        <v>135</v>
      </c>
      <c r="X9" s="134" t="s">
        <v>132</v>
      </c>
      <c r="Y9" s="134" t="s">
        <v>135</v>
      </c>
      <c r="Z9" s="134" t="s">
        <v>135</v>
      </c>
      <c r="AA9" s="134" t="s">
        <v>135</v>
      </c>
      <c r="AB9" s="134" t="s">
        <v>135</v>
      </c>
      <c r="AC9" s="134" t="s">
        <v>135</v>
      </c>
      <c r="AD9" s="134" t="s">
        <v>135</v>
      </c>
      <c r="AE9" s="134" t="s">
        <v>135</v>
      </c>
      <c r="AF9" s="134" t="s">
        <v>135</v>
      </c>
      <c r="AG9" s="134" t="s">
        <v>135</v>
      </c>
      <c r="AH9" s="134" t="s">
        <v>135</v>
      </c>
      <c r="AI9" s="134" t="s">
        <v>135</v>
      </c>
      <c r="AJ9" s="134" t="s">
        <v>135</v>
      </c>
      <c r="AK9" s="134" t="s">
        <v>135</v>
      </c>
      <c r="AL9" s="134" t="s">
        <v>135</v>
      </c>
      <c r="AM9" s="134" t="s">
        <v>135</v>
      </c>
      <c r="AN9" s="134" t="s">
        <v>135</v>
      </c>
      <c r="AO9" s="134" t="s">
        <v>135</v>
      </c>
      <c r="AP9" s="118" t="s">
        <v>136</v>
      </c>
      <c r="AQ9" s="118" t="s">
        <v>137</v>
      </c>
      <c r="AR9" s="118" t="s">
        <v>138</v>
      </c>
      <c r="AS9" s="118" t="s">
        <v>139</v>
      </c>
      <c r="AT9" s="118" t="s">
        <v>139</v>
      </c>
      <c r="AU9" s="118">
        <v>75</v>
      </c>
      <c r="AV9" s="118"/>
      <c r="AW9" s="118"/>
      <c r="AX9" s="118"/>
      <c r="AY9" s="118"/>
      <c r="AZ9" s="118"/>
      <c r="BA9" s="118"/>
      <c r="BB9" s="118"/>
      <c r="BC9" s="118"/>
      <c r="BD9" s="118"/>
      <c r="BE9" s="118"/>
      <c r="BF9" s="118"/>
      <c r="BG9" s="118"/>
      <c r="BH9" s="118"/>
    </row>
    <row r="10" spans="1:60">
      <c r="A10" s="59"/>
      <c r="B10" s="115" t="s">
        <v>140</v>
      </c>
      <c r="C10" s="99"/>
      <c r="D10" s="99"/>
      <c r="E10" s="99"/>
      <c r="F10" s="122" t="s">
        <v>141</v>
      </c>
      <c r="G10" s="99"/>
      <c r="H10" s="118"/>
      <c r="I10" s="118"/>
      <c r="J10" s="118"/>
      <c r="K10" s="118"/>
      <c r="L10" s="118" t="s">
        <v>142</v>
      </c>
      <c r="M10" s="118" t="s">
        <v>142</v>
      </c>
      <c r="N10" s="118" t="s">
        <v>142</v>
      </c>
      <c r="O10" s="118" t="s">
        <v>142</v>
      </c>
      <c r="P10" s="118" t="s">
        <v>142</v>
      </c>
      <c r="Q10" s="118" t="s">
        <v>142</v>
      </c>
      <c r="R10" s="118" t="s">
        <v>142</v>
      </c>
      <c r="S10" s="118" t="s">
        <v>142</v>
      </c>
      <c r="T10" s="118" t="s">
        <v>142</v>
      </c>
      <c r="U10" s="118" t="s">
        <v>142</v>
      </c>
      <c r="V10" s="118" t="s">
        <v>142</v>
      </c>
      <c r="W10" s="134"/>
      <c r="X10" s="134"/>
      <c r="Y10" s="134"/>
      <c r="Z10" s="134"/>
      <c r="AA10" s="134"/>
      <c r="AB10" s="134"/>
      <c r="AC10" s="134"/>
      <c r="AD10" s="134"/>
      <c r="AE10" s="134"/>
      <c r="AF10" s="134"/>
      <c r="AG10" s="134"/>
      <c r="AH10" s="134"/>
      <c r="AI10" s="134"/>
      <c r="AJ10" s="134"/>
      <c r="AK10" s="134"/>
      <c r="AL10" s="134"/>
      <c r="AM10" s="134"/>
      <c r="AN10" s="134"/>
      <c r="AO10" s="134"/>
      <c r="AP10" s="118" t="s">
        <v>143</v>
      </c>
      <c r="AQ10" s="118" t="s">
        <v>144</v>
      </c>
      <c r="AR10" s="118" t="s">
        <v>145</v>
      </c>
      <c r="AS10" s="118" t="s">
        <v>146</v>
      </c>
      <c r="AT10" s="118" t="s">
        <v>146</v>
      </c>
      <c r="AU10" s="118">
        <v>100</v>
      </c>
      <c r="AV10" s="118"/>
      <c r="AW10" s="118"/>
      <c r="AX10" s="118"/>
      <c r="AY10" s="118"/>
      <c r="AZ10" s="118"/>
      <c r="BA10" s="118"/>
      <c r="BB10" s="118"/>
      <c r="BC10" s="118"/>
      <c r="BD10" s="118"/>
      <c r="BE10" s="118"/>
      <c r="BF10" s="118"/>
      <c r="BG10" s="118"/>
      <c r="BH10" s="118"/>
    </row>
    <row r="11" spans="1:60">
      <c r="A11" s="59"/>
      <c r="B11" s="146" t="s">
        <v>147</v>
      </c>
      <c r="C11" s="99"/>
      <c r="D11" s="99"/>
      <c r="E11" s="99"/>
      <c r="F11" s="99" t="s">
        <v>148</v>
      </c>
      <c r="G11" s="99"/>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20" t="s">
        <v>149</v>
      </c>
      <c r="AR11" s="120" t="s">
        <v>150</v>
      </c>
      <c r="AS11" s="120" t="s">
        <v>151</v>
      </c>
      <c r="AT11" s="120" t="s">
        <v>151</v>
      </c>
      <c r="AU11" s="118"/>
      <c r="AV11" s="118"/>
      <c r="AW11" s="118"/>
      <c r="AX11" s="118"/>
      <c r="AY11" s="118"/>
      <c r="AZ11" s="118"/>
      <c r="BA11" s="118"/>
      <c r="BB11" s="118"/>
      <c r="BC11" s="118"/>
      <c r="BD11" s="118"/>
      <c r="BE11" s="118"/>
      <c r="BF11" s="118"/>
      <c r="BG11" s="118"/>
      <c r="BH11" s="118"/>
    </row>
    <row r="12" spans="1:60">
      <c r="A12" s="59"/>
      <c r="B12" s="115" t="s">
        <v>152</v>
      </c>
      <c r="C12" s="99"/>
      <c r="D12" s="99"/>
      <c r="E12" s="99"/>
      <c r="F12" s="122" t="s">
        <v>25</v>
      </c>
      <c r="G12" s="99"/>
      <c r="H12" s="99"/>
      <c r="I12" s="99" t="s">
        <v>153</v>
      </c>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115"/>
      <c r="AQ12" s="115"/>
      <c r="AR12" s="115"/>
      <c r="AS12" s="115"/>
      <c r="AT12" s="115"/>
      <c r="AU12" s="115"/>
      <c r="AV12" s="115"/>
      <c r="AW12" s="115"/>
      <c r="AX12" s="115"/>
      <c r="AY12" s="115"/>
      <c r="AZ12" s="115"/>
      <c r="BA12" s="115"/>
      <c r="BB12" s="115"/>
      <c r="BC12" s="115"/>
    </row>
    <row r="13" spans="1:60">
      <c r="A13" s="59"/>
      <c r="B13" s="115" t="s">
        <v>154</v>
      </c>
      <c r="C13" s="99"/>
      <c r="D13" s="99"/>
      <c r="E13" s="99"/>
      <c r="F13" s="99" t="s">
        <v>26</v>
      </c>
      <c r="G13" s="99"/>
      <c r="H13" s="99"/>
      <c r="I13" s="99" t="s">
        <v>153</v>
      </c>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115"/>
      <c r="AQ13" s="115"/>
      <c r="AR13" s="115"/>
      <c r="AS13" s="115"/>
      <c r="AT13" s="115"/>
      <c r="AU13" s="115"/>
      <c r="AV13" s="115"/>
      <c r="AW13" s="115"/>
      <c r="AX13" s="115"/>
      <c r="AY13" s="115"/>
      <c r="AZ13" s="115"/>
      <c r="BA13" s="115"/>
      <c r="BB13" s="115"/>
      <c r="BC13" s="115"/>
    </row>
    <row r="14" spans="1:60">
      <c r="A14" s="59"/>
      <c r="B14" s="115" t="s">
        <v>155</v>
      </c>
      <c r="C14" s="99"/>
      <c r="D14" s="99"/>
      <c r="E14" s="99"/>
      <c r="F14" s="122" t="s">
        <v>27</v>
      </c>
      <c r="G14" s="99"/>
      <c r="H14" s="99"/>
      <c r="I14" s="99" t="s">
        <v>153</v>
      </c>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115"/>
      <c r="AQ14" s="115"/>
      <c r="AR14" s="115"/>
      <c r="AS14" s="115"/>
      <c r="AT14" s="115"/>
      <c r="AU14" s="115"/>
      <c r="AV14" s="115"/>
      <c r="AW14" s="115"/>
      <c r="AX14" s="115"/>
      <c r="AY14" s="115"/>
      <c r="AZ14" s="115"/>
      <c r="BA14" s="115"/>
      <c r="BB14" s="115"/>
      <c r="BC14" s="115"/>
    </row>
    <row r="15" spans="1:60">
      <c r="A15" s="59"/>
      <c r="B15" s="115" t="s">
        <v>156</v>
      </c>
      <c r="C15" s="99"/>
      <c r="D15" s="99"/>
      <c r="E15" s="99"/>
      <c r="F15" s="99" t="s">
        <v>28</v>
      </c>
      <c r="G15" s="99"/>
      <c r="H15" s="99"/>
      <c r="I15" s="99" t="s">
        <v>153</v>
      </c>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115"/>
      <c r="AQ15" s="115"/>
      <c r="AR15" s="115"/>
      <c r="AS15" s="115"/>
      <c r="AT15" s="115"/>
      <c r="AU15" s="115"/>
      <c r="AV15" s="115"/>
      <c r="AW15" s="115"/>
      <c r="AX15" s="115"/>
      <c r="AY15" s="115"/>
      <c r="AZ15" s="115"/>
      <c r="BA15" s="115"/>
      <c r="BB15" s="115"/>
      <c r="BC15" s="115"/>
    </row>
    <row r="16" spans="1:60">
      <c r="A16" s="59"/>
      <c r="B16" s="115" t="s">
        <v>157</v>
      </c>
      <c r="C16" s="99"/>
      <c r="D16" s="99"/>
      <c r="E16" s="99"/>
      <c r="F16" s="122" t="s">
        <v>29</v>
      </c>
      <c r="G16" s="99"/>
      <c r="H16" s="99"/>
      <c r="I16" s="99" t="s">
        <v>153</v>
      </c>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115"/>
      <c r="AQ16" s="115"/>
      <c r="AR16" s="115"/>
      <c r="AS16" s="115"/>
      <c r="AT16" s="115"/>
      <c r="AU16" s="115"/>
      <c r="AV16" s="115"/>
      <c r="AW16" s="115"/>
      <c r="AX16" s="115"/>
      <c r="AY16" s="115"/>
      <c r="AZ16" s="115"/>
      <c r="BA16" s="115"/>
      <c r="BB16" s="115"/>
      <c r="BC16" s="115"/>
    </row>
    <row r="17" spans="1:55">
      <c r="A17" s="59"/>
      <c r="B17" s="115" t="s">
        <v>158</v>
      </c>
      <c r="C17" s="99"/>
      <c r="D17" s="99"/>
      <c r="E17" s="99"/>
      <c r="F17" s="99" t="s">
        <v>30</v>
      </c>
      <c r="G17" s="99"/>
      <c r="H17" s="99"/>
      <c r="I17" s="99" t="s">
        <v>153</v>
      </c>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115"/>
      <c r="AQ17" s="115"/>
      <c r="AR17" s="115"/>
      <c r="AS17" s="115"/>
      <c r="AT17" s="115"/>
      <c r="AU17" s="115"/>
      <c r="AV17" s="115"/>
      <c r="AW17" s="115"/>
      <c r="AX17" s="115"/>
      <c r="AY17" s="115"/>
      <c r="AZ17" s="115"/>
      <c r="BA17" s="115"/>
      <c r="BB17" s="115"/>
      <c r="BC17" s="115"/>
    </row>
    <row r="18" spans="1:55">
      <c r="A18" s="59"/>
      <c r="B18" s="115" t="s">
        <v>159</v>
      </c>
      <c r="C18" s="99"/>
      <c r="D18" s="99"/>
      <c r="E18" s="99"/>
      <c r="F18" s="122" t="s">
        <v>31</v>
      </c>
      <c r="G18" s="99"/>
      <c r="H18" s="99"/>
      <c r="I18" s="99"/>
      <c r="J18" s="99"/>
      <c r="K18" s="99"/>
      <c r="L18" s="99"/>
      <c r="M18" s="99"/>
      <c r="N18" s="99"/>
      <c r="O18" s="99"/>
      <c r="P18" s="99"/>
      <c r="Q18" s="123"/>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115"/>
      <c r="AQ18" s="115"/>
      <c r="AR18" s="115"/>
      <c r="AS18" s="115"/>
      <c r="AT18" s="115"/>
      <c r="AU18" s="115"/>
      <c r="AV18" s="115"/>
      <c r="AW18" s="115"/>
      <c r="AX18" s="115"/>
      <c r="AY18" s="115"/>
      <c r="AZ18" s="115"/>
      <c r="BA18" s="115"/>
      <c r="BB18" s="115"/>
      <c r="BC18" s="115"/>
    </row>
    <row r="19" spans="1:55">
      <c r="A19" s="59"/>
      <c r="B19" s="115"/>
      <c r="C19" s="99"/>
      <c r="D19" s="99"/>
      <c r="E19" s="99"/>
      <c r="F19" s="99" t="s">
        <v>32</v>
      </c>
      <c r="G19" s="99"/>
      <c r="H19" s="124" t="s">
        <v>153</v>
      </c>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115"/>
      <c r="AQ19" s="115"/>
      <c r="AR19" s="115"/>
      <c r="AS19" s="115"/>
      <c r="AT19" s="115"/>
      <c r="AU19" s="115"/>
      <c r="AV19" s="115"/>
      <c r="AW19" s="115"/>
      <c r="AX19" s="115"/>
      <c r="AY19" s="115"/>
      <c r="AZ19" s="115"/>
      <c r="BA19" s="115"/>
      <c r="BB19" s="115"/>
      <c r="BC19" s="115"/>
    </row>
    <row r="20" spans="1:55">
      <c r="A20" s="59"/>
      <c r="B20" s="115"/>
      <c r="C20" s="99"/>
      <c r="D20" s="99"/>
      <c r="E20" s="99"/>
      <c r="F20" s="122" t="s">
        <v>33</v>
      </c>
      <c r="G20" s="99"/>
      <c r="H20" s="124" t="s">
        <v>153</v>
      </c>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115"/>
      <c r="AQ20" s="115"/>
      <c r="AR20" s="115"/>
      <c r="AS20" s="115"/>
      <c r="AT20" s="115"/>
      <c r="AU20" s="115"/>
      <c r="AV20" s="115"/>
      <c r="AW20" s="115"/>
      <c r="AX20" s="115"/>
      <c r="AY20" s="115"/>
      <c r="AZ20" s="115"/>
      <c r="BA20" s="115"/>
      <c r="BB20" s="115"/>
      <c r="BC20" s="115"/>
    </row>
    <row r="21" spans="1:55">
      <c r="A21" s="59"/>
      <c r="B21" s="115"/>
      <c r="C21" s="99"/>
      <c r="D21" s="99"/>
      <c r="E21" s="99"/>
      <c r="F21" s="99" t="s">
        <v>34</v>
      </c>
      <c r="G21" s="99"/>
      <c r="H21" s="124" t="s">
        <v>153</v>
      </c>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115"/>
      <c r="AQ21" s="115"/>
      <c r="AR21" s="115"/>
      <c r="AS21" s="115"/>
      <c r="AT21" s="115"/>
      <c r="AU21" s="115"/>
      <c r="AV21" s="115"/>
      <c r="AW21" s="115"/>
      <c r="AX21" s="115"/>
      <c r="AY21" s="115"/>
      <c r="AZ21" s="115"/>
      <c r="BA21" s="115"/>
      <c r="BB21" s="115"/>
      <c r="BC21" s="115"/>
    </row>
    <row r="22" spans="1:55">
      <c r="A22" s="59"/>
      <c r="B22" s="115"/>
      <c r="C22" s="99"/>
      <c r="D22" s="99"/>
      <c r="E22" s="99"/>
      <c r="F22" s="122" t="s">
        <v>35</v>
      </c>
      <c r="G22" s="99"/>
      <c r="H22" s="124" t="s">
        <v>153</v>
      </c>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115"/>
      <c r="AQ22" s="115"/>
      <c r="AR22" s="115"/>
      <c r="AS22" s="115"/>
      <c r="AT22" s="115"/>
      <c r="AU22" s="115"/>
      <c r="AV22" s="115"/>
      <c r="AW22" s="115"/>
      <c r="AX22" s="115"/>
      <c r="AY22" s="115"/>
      <c r="AZ22" s="115"/>
      <c r="BA22" s="115"/>
      <c r="BB22" s="115"/>
      <c r="BC22" s="115"/>
    </row>
    <row r="23" spans="1:55">
      <c r="A23" s="59"/>
      <c r="B23" s="115"/>
      <c r="C23" s="99"/>
      <c r="D23" s="99"/>
      <c r="E23" s="99"/>
      <c r="F23" s="99" t="s">
        <v>160</v>
      </c>
      <c r="G23" s="99"/>
      <c r="H23" s="99"/>
      <c r="I23" s="99" t="s">
        <v>153</v>
      </c>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115"/>
      <c r="AQ23" s="115"/>
      <c r="AR23" s="115"/>
      <c r="AS23" s="115"/>
      <c r="AT23" s="115"/>
      <c r="AU23" s="115"/>
      <c r="AV23" s="115"/>
      <c r="AW23" s="115"/>
      <c r="AX23" s="115"/>
      <c r="AY23" s="115"/>
      <c r="AZ23" s="115"/>
      <c r="BA23" s="115"/>
      <c r="BB23" s="115"/>
      <c r="BC23" s="115"/>
    </row>
    <row r="24" spans="1:55">
      <c r="A24" s="59"/>
      <c r="B24" s="115"/>
      <c r="C24" s="99"/>
      <c r="D24" s="99"/>
      <c r="E24" s="99"/>
      <c r="F24" s="122" t="s">
        <v>161</v>
      </c>
      <c r="G24" s="99"/>
      <c r="H24" s="99"/>
      <c r="I24" s="99" t="s">
        <v>153</v>
      </c>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115"/>
      <c r="AQ24" s="115"/>
      <c r="AR24" s="115"/>
      <c r="AS24" s="115"/>
      <c r="AT24" s="115"/>
      <c r="AU24" s="115"/>
      <c r="AV24" s="115"/>
      <c r="AW24" s="115"/>
      <c r="AX24" s="115"/>
      <c r="AY24" s="115"/>
      <c r="AZ24" s="115"/>
      <c r="BA24" s="115"/>
      <c r="BB24" s="115"/>
      <c r="BC24" s="115"/>
    </row>
    <row r="25" spans="1:55">
      <c r="A25" s="59"/>
      <c r="B25" s="115"/>
      <c r="C25" s="99"/>
      <c r="D25" s="99"/>
      <c r="E25" s="99"/>
      <c r="F25" s="99" t="s">
        <v>162</v>
      </c>
      <c r="G25" s="99"/>
      <c r="H25" s="99"/>
      <c r="I25" s="99" t="s">
        <v>153</v>
      </c>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115"/>
      <c r="AQ25" s="115"/>
      <c r="AR25" s="115"/>
      <c r="AS25" s="115"/>
      <c r="AT25" s="115"/>
      <c r="AU25" s="115"/>
      <c r="AV25" s="115"/>
      <c r="AW25" s="115"/>
      <c r="AX25" s="115"/>
      <c r="AY25" s="115"/>
      <c r="AZ25" s="115"/>
      <c r="BA25" s="115"/>
      <c r="BB25" s="115"/>
      <c r="BC25" s="115"/>
    </row>
    <row r="26" spans="1:55">
      <c r="A26" s="59"/>
      <c r="B26" s="115"/>
      <c r="C26" s="99"/>
      <c r="D26" s="99"/>
      <c r="E26" s="99"/>
      <c r="F26" s="122" t="s">
        <v>163</v>
      </c>
      <c r="G26" s="99"/>
      <c r="H26" s="99"/>
      <c r="I26" s="99" t="s">
        <v>153</v>
      </c>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115"/>
      <c r="AQ26" s="115"/>
      <c r="AR26" s="115"/>
      <c r="AS26" s="115"/>
      <c r="AT26" s="115"/>
      <c r="AU26" s="115"/>
      <c r="AV26" s="115"/>
      <c r="AW26" s="115"/>
      <c r="AX26" s="115"/>
      <c r="AY26" s="115"/>
      <c r="AZ26" s="115"/>
      <c r="BA26" s="115"/>
      <c r="BB26" s="115"/>
      <c r="BC26" s="115"/>
    </row>
    <row r="27" spans="1:55">
      <c r="A27" s="59"/>
      <c r="B27" s="115"/>
      <c r="C27" s="99"/>
      <c r="D27" s="99"/>
      <c r="E27" s="99"/>
      <c r="F27" s="99" t="s">
        <v>164</v>
      </c>
      <c r="G27" s="99"/>
      <c r="H27" s="99"/>
      <c r="I27" s="99" t="s">
        <v>153</v>
      </c>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115"/>
      <c r="AQ27" s="115"/>
      <c r="AR27" s="115"/>
      <c r="AS27" s="115"/>
      <c r="AT27" s="115"/>
      <c r="AU27" s="115"/>
      <c r="AV27" s="115"/>
      <c r="AW27" s="115"/>
      <c r="AX27" s="115"/>
      <c r="AY27" s="115"/>
      <c r="AZ27" s="115"/>
      <c r="BA27" s="115"/>
      <c r="BB27" s="115"/>
      <c r="BC27" s="115"/>
    </row>
    <row r="28" spans="1:55">
      <c r="B28" s="115"/>
      <c r="C28" s="99"/>
      <c r="D28" s="99"/>
      <c r="E28" s="99"/>
      <c r="F28" s="99"/>
      <c r="G28" s="99"/>
      <c r="H28" s="99"/>
      <c r="I28" s="99" t="s">
        <v>153</v>
      </c>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115"/>
      <c r="AQ28" s="115"/>
      <c r="AR28" s="115"/>
      <c r="AS28" s="115"/>
      <c r="AT28" s="115"/>
      <c r="AU28" s="115"/>
      <c r="AV28" s="115"/>
      <c r="AW28" s="115"/>
      <c r="AX28" s="115"/>
      <c r="AY28" s="115"/>
      <c r="AZ28" s="115"/>
      <c r="BA28" s="115"/>
      <c r="BB28" s="115"/>
      <c r="BC28" s="115"/>
    </row>
    <row r="29" spans="1:55">
      <c r="B29" s="115"/>
      <c r="C29" s="99"/>
      <c r="D29" s="99"/>
      <c r="E29" s="99"/>
      <c r="F29" s="99"/>
      <c r="G29" s="99"/>
      <c r="H29" s="99"/>
      <c r="I29" s="99" t="s">
        <v>153</v>
      </c>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115"/>
      <c r="AQ29" s="115"/>
      <c r="AR29" s="115"/>
      <c r="AS29" s="115"/>
      <c r="AT29" s="115"/>
      <c r="AU29" s="115"/>
      <c r="AV29" s="115"/>
      <c r="AW29" s="115"/>
      <c r="AX29" s="115"/>
      <c r="AY29" s="115"/>
      <c r="AZ29" s="115"/>
      <c r="BA29" s="115"/>
      <c r="BB29" s="115"/>
      <c r="BC29" s="115"/>
    </row>
    <row r="30" spans="1:55">
      <c r="B30" s="115"/>
      <c r="C30" s="99"/>
      <c r="D30" s="99"/>
      <c r="E30" s="99"/>
      <c r="F30" s="99"/>
      <c r="G30" s="99"/>
      <c r="H30" s="99"/>
      <c r="I30" s="99" t="s">
        <v>153</v>
      </c>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115"/>
      <c r="AQ30" s="115"/>
      <c r="AR30" s="115"/>
      <c r="AS30" s="115"/>
      <c r="AT30" s="115"/>
      <c r="AU30" s="115"/>
      <c r="AV30" s="115"/>
      <c r="AW30" s="115"/>
      <c r="AX30" s="115"/>
      <c r="AY30" s="115"/>
      <c r="AZ30" s="115"/>
      <c r="BA30" s="115"/>
      <c r="BB30" s="115"/>
      <c r="BC30" s="115"/>
    </row>
    <row r="31" spans="1:55">
      <c r="B31" s="115"/>
      <c r="C31" s="99"/>
      <c r="D31" s="99"/>
      <c r="E31" s="99"/>
      <c r="F31" s="99"/>
      <c r="G31" s="99"/>
      <c r="H31" s="99"/>
      <c r="I31" s="99" t="s">
        <v>153</v>
      </c>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115"/>
      <c r="AQ31" s="115"/>
      <c r="AR31" s="115"/>
      <c r="AS31" s="115"/>
      <c r="AT31" s="115"/>
      <c r="AU31" s="115"/>
      <c r="AV31" s="115"/>
      <c r="AW31" s="115"/>
      <c r="AX31" s="115"/>
      <c r="AY31" s="115"/>
      <c r="AZ31" s="115"/>
      <c r="BA31" s="115"/>
      <c r="BB31" s="115"/>
      <c r="BC31" s="115"/>
    </row>
    <row r="32" spans="1:55">
      <c r="B32" s="115"/>
      <c r="C32" s="99"/>
      <c r="D32" s="99"/>
      <c r="E32" s="99"/>
      <c r="F32" s="99"/>
      <c r="G32" s="99"/>
      <c r="H32" s="99"/>
      <c r="I32" s="99" t="s">
        <v>153</v>
      </c>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115"/>
      <c r="AQ32" s="115"/>
      <c r="AR32" s="115"/>
      <c r="AS32" s="115"/>
      <c r="AT32" s="115"/>
      <c r="AU32" s="115"/>
      <c r="AV32" s="115"/>
      <c r="AW32" s="115"/>
      <c r="AX32" s="115"/>
      <c r="AY32" s="115"/>
      <c r="AZ32" s="115"/>
      <c r="BA32" s="115"/>
      <c r="BB32" s="115"/>
      <c r="BC32" s="115"/>
    </row>
    <row r="33" spans="2:55">
      <c r="B33" s="115"/>
      <c r="C33" s="99"/>
      <c r="D33" s="99"/>
      <c r="E33" s="99"/>
      <c r="F33" s="99"/>
      <c r="G33" s="99"/>
      <c r="H33" s="99"/>
      <c r="I33" s="99" t="s">
        <v>153</v>
      </c>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115"/>
      <c r="AQ33" s="115"/>
      <c r="AR33" s="115"/>
      <c r="AS33" s="115"/>
      <c r="AT33" s="115"/>
      <c r="AU33" s="115"/>
      <c r="AV33" s="115"/>
      <c r="AW33" s="115"/>
      <c r="AX33" s="115"/>
      <c r="AY33" s="115"/>
      <c r="AZ33" s="115"/>
      <c r="BA33" s="115"/>
      <c r="BB33" s="115"/>
      <c r="BC33" s="115"/>
    </row>
    <row r="34" spans="2:55">
      <c r="B34" s="115"/>
      <c r="C34" s="99"/>
      <c r="D34" s="99"/>
      <c r="E34" s="99"/>
      <c r="F34" s="99"/>
      <c r="G34" s="99"/>
      <c r="H34" s="99"/>
      <c r="I34" s="99" t="s">
        <v>153</v>
      </c>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115"/>
      <c r="AQ34" s="115"/>
      <c r="AR34" s="115"/>
      <c r="AS34" s="115"/>
      <c r="AT34" s="115"/>
      <c r="AU34" s="115"/>
      <c r="AV34" s="115"/>
      <c r="AW34" s="115"/>
      <c r="AX34" s="115"/>
      <c r="AY34" s="115"/>
      <c r="AZ34" s="115"/>
      <c r="BA34" s="115"/>
      <c r="BB34" s="115"/>
      <c r="BC34" s="115"/>
    </row>
    <row r="35" spans="2:55">
      <c r="B35" s="115"/>
      <c r="C35" s="99"/>
      <c r="D35" s="99"/>
      <c r="E35" s="99"/>
      <c r="F35" s="99"/>
      <c r="G35" s="99"/>
      <c r="H35" s="99"/>
      <c r="I35" s="99" t="s">
        <v>153</v>
      </c>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115"/>
      <c r="AQ35" s="115"/>
      <c r="AR35" s="115"/>
      <c r="AS35" s="115"/>
      <c r="AT35" s="115"/>
      <c r="AU35" s="115"/>
      <c r="AV35" s="115"/>
      <c r="AW35" s="115"/>
      <c r="AX35" s="115"/>
      <c r="AY35" s="115"/>
      <c r="AZ35" s="115"/>
      <c r="BA35" s="115"/>
      <c r="BB35" s="115"/>
      <c r="BC35" s="115"/>
    </row>
    <row r="36" spans="2:55">
      <c r="B36" s="115"/>
      <c r="C36" s="99"/>
      <c r="D36" s="99"/>
      <c r="E36" s="99"/>
      <c r="F36" s="99"/>
      <c r="G36" s="99"/>
      <c r="H36" s="99"/>
      <c r="I36" s="99" t="s">
        <v>153</v>
      </c>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115"/>
      <c r="AQ36" s="115"/>
      <c r="AR36" s="115"/>
      <c r="AS36" s="115"/>
      <c r="AT36" s="115"/>
      <c r="AU36" s="115"/>
      <c r="AV36" s="115"/>
      <c r="AW36" s="115"/>
      <c r="AX36" s="115"/>
      <c r="AY36" s="115"/>
      <c r="AZ36" s="115"/>
      <c r="BA36" s="115"/>
      <c r="BB36" s="115"/>
      <c r="BC36" s="115"/>
    </row>
    <row r="37" spans="2:55">
      <c r="B37" s="115"/>
      <c r="C37" s="99"/>
      <c r="D37" s="99"/>
      <c r="E37" s="99"/>
      <c r="F37" s="99"/>
      <c r="G37" s="99"/>
      <c r="H37" s="99"/>
      <c r="I37" s="99" t="s">
        <v>153</v>
      </c>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115"/>
      <c r="AQ37" s="115"/>
      <c r="AR37" s="115"/>
      <c r="AS37" s="115"/>
      <c r="AT37" s="115"/>
      <c r="AU37" s="115"/>
      <c r="AV37" s="115"/>
      <c r="AW37" s="115"/>
      <c r="AX37" s="115"/>
      <c r="AY37" s="115"/>
      <c r="AZ37" s="115"/>
      <c r="BA37" s="115"/>
      <c r="BB37" s="115"/>
      <c r="BC37" s="115"/>
    </row>
    <row r="38" spans="2:55">
      <c r="B38" s="115"/>
      <c r="C38" s="99"/>
      <c r="D38" s="99"/>
      <c r="E38" s="99"/>
      <c r="F38" s="99"/>
      <c r="G38" s="99"/>
      <c r="H38" s="99"/>
      <c r="I38" s="99" t="s">
        <v>153</v>
      </c>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115"/>
      <c r="AQ38" s="115"/>
      <c r="AR38" s="115"/>
      <c r="AS38" s="115"/>
      <c r="AT38" s="115"/>
      <c r="AU38" s="115"/>
      <c r="AV38" s="115"/>
      <c r="AW38" s="115"/>
      <c r="AX38" s="115"/>
      <c r="AY38" s="115"/>
      <c r="AZ38" s="115"/>
      <c r="BA38" s="115"/>
      <c r="BB38" s="115"/>
      <c r="BC38" s="115"/>
    </row>
    <row r="39" spans="2:55">
      <c r="B39" s="115"/>
      <c r="C39" s="99"/>
      <c r="D39" s="99"/>
      <c r="E39" s="99"/>
      <c r="F39" s="99"/>
      <c r="G39" s="99"/>
      <c r="H39" s="99"/>
      <c r="I39" s="99" t="s">
        <v>153</v>
      </c>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115"/>
      <c r="AQ39" s="115"/>
      <c r="AR39" s="115"/>
      <c r="AS39" s="115"/>
      <c r="AT39" s="115"/>
      <c r="AU39" s="115"/>
      <c r="AV39" s="115"/>
      <c r="AW39" s="115"/>
      <c r="AX39" s="115"/>
      <c r="AY39" s="115"/>
      <c r="AZ39" s="115"/>
      <c r="BA39" s="115"/>
      <c r="BB39" s="115"/>
      <c r="BC39" s="115"/>
    </row>
    <row r="40" spans="2:55">
      <c r="B40" s="115"/>
      <c r="C40" s="99"/>
      <c r="D40" s="99"/>
      <c r="E40" s="99"/>
      <c r="F40" s="99"/>
      <c r="G40" s="99"/>
      <c r="H40" s="99"/>
      <c r="I40" s="99" t="s">
        <v>153</v>
      </c>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115"/>
      <c r="AQ40" s="115"/>
      <c r="AR40" s="115"/>
      <c r="AS40" s="115"/>
      <c r="AT40" s="115"/>
      <c r="AU40" s="115"/>
      <c r="AV40" s="115"/>
      <c r="AW40" s="115"/>
      <c r="AX40" s="115"/>
      <c r="AY40" s="115"/>
      <c r="AZ40" s="115"/>
      <c r="BA40" s="115"/>
      <c r="BB40" s="115"/>
      <c r="BC40" s="115"/>
    </row>
    <row r="41" spans="2:55">
      <c r="B41" s="115"/>
      <c r="C41" s="99"/>
      <c r="D41" s="99"/>
      <c r="E41" s="99"/>
      <c r="F41" s="99"/>
      <c r="G41" s="99"/>
      <c r="H41" s="99"/>
      <c r="I41" s="99" t="s">
        <v>153</v>
      </c>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115"/>
      <c r="AQ41" s="115"/>
      <c r="AR41" s="115"/>
      <c r="AS41" s="115"/>
      <c r="AT41" s="115"/>
      <c r="AU41" s="115"/>
      <c r="AV41" s="115"/>
      <c r="AW41" s="115"/>
      <c r="AX41" s="115"/>
      <c r="AY41" s="115"/>
      <c r="AZ41" s="115"/>
      <c r="BA41" s="115"/>
      <c r="BB41" s="115"/>
      <c r="BC41" s="115"/>
    </row>
    <row r="42" spans="2:55">
      <c r="I42" s="20" t="s">
        <v>153</v>
      </c>
    </row>
    <row r="43" spans="2:55">
      <c r="I43" s="20" t="s">
        <v>153</v>
      </c>
    </row>
    <row r="44" spans="2:55">
      <c r="I44" s="20" t="s">
        <v>153</v>
      </c>
    </row>
    <row r="45" spans="2:55">
      <c r="I45" s="20" t="s">
        <v>153</v>
      </c>
    </row>
    <row r="46" spans="2:55">
      <c r="I46" s="20" t="s">
        <v>153</v>
      </c>
    </row>
    <row r="47" spans="2:55">
      <c r="I47" s="20" t="s">
        <v>153</v>
      </c>
    </row>
    <row r="48" spans="2:55">
      <c r="I48" s="20" t="s">
        <v>153</v>
      </c>
    </row>
    <row r="49" spans="9:9">
      <c r="I49" s="20" t="s">
        <v>153</v>
      </c>
    </row>
    <row r="50" spans="9:9">
      <c r="I50" s="20" t="s">
        <v>153</v>
      </c>
    </row>
    <row r="51" spans="9:9">
      <c r="I51" s="20" t="s">
        <v>153</v>
      </c>
    </row>
    <row r="52" spans="9:9">
      <c r="I52" s="20" t="s">
        <v>153</v>
      </c>
    </row>
    <row r="53" spans="9:9">
      <c r="I53" s="20" t="s">
        <v>153</v>
      </c>
    </row>
    <row r="54" spans="9:9">
      <c r="I54" s="20" t="s">
        <v>153</v>
      </c>
    </row>
  </sheetData>
  <protectedRanges>
    <protectedRange sqref="Z5" name="AllowSortFilter_1"/>
    <protectedRange sqref="AA5" name="AllowSortFilter_2"/>
    <protectedRange sqref="AB5" name="AllowSortFilter_12"/>
    <protectedRange sqref="AC5" name="AllowSortFilter_13"/>
    <protectedRange sqref="AD5" name="AllowSortFilter_14"/>
    <protectedRange sqref="AE5" name="AllowSortFilter_15"/>
    <protectedRange sqref="AF5" name="AllowSortFilter_16"/>
    <protectedRange sqref="AG5" name="AllowSortFilter_17"/>
    <protectedRange sqref="AH5" name="AllowSortFilter_18"/>
    <protectedRange sqref="AI5" name="AllowSortFilter_19"/>
    <protectedRange sqref="AJ5" name="AllowSortFilter_20"/>
    <protectedRange sqref="AK5" name="AllowSortFilter_21"/>
    <protectedRange sqref="AL5" name="AllowSortFilter_22"/>
    <protectedRange sqref="AM5" name="AllowSortFilter_23"/>
    <protectedRange sqref="AN5" name="AllowSortFilter_24"/>
    <protectedRange sqref="AO5" name="AllowSortFilter_25"/>
  </protectedRanges>
  <phoneticPr fontId="5" type="noConversion"/>
  <pageMargins left="0.7" right="0.7" top="0.78740157499999996" bottom="0.78740157499999996" header="0.3" footer="0.3"/>
  <pageSetup paperSize="9" orientation="portrait" horizontalDpi="4294967293" verticalDpi="0" r:id="rId1"/>
  <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1D466E"/>
  </sheetPr>
  <dimension ref="A1:F38"/>
  <sheetViews>
    <sheetView showGridLines="0" tabSelected="1" zoomScaleNormal="100" workbookViewId="0">
      <pane ySplit="5" topLeftCell="A7" activePane="bottomLeft" state="frozen"/>
      <selection pane="bottomLeft" activeCell="C13" sqref="C13"/>
    </sheetView>
  </sheetViews>
  <sheetFormatPr baseColWidth="10" defaultColWidth="10.44140625" defaultRowHeight="13.2"/>
  <cols>
    <col min="1" max="1" width="11.44140625" style="44" customWidth="1"/>
    <col min="2" max="2" width="45.33203125" style="44" customWidth="1"/>
    <col min="3" max="3" width="135" style="58" customWidth="1"/>
    <col min="4" max="4" width="4.44140625" style="44" customWidth="1"/>
    <col min="5" max="5" width="10.44140625" style="44"/>
    <col min="6" max="6" width="27.44140625" style="44" customWidth="1"/>
    <col min="7" max="16384" width="10.44140625" style="44"/>
  </cols>
  <sheetData>
    <row r="1" spans="1:4" ht="81" customHeight="1">
      <c r="A1" s="22"/>
      <c r="B1" s="22"/>
      <c r="C1" s="47"/>
      <c r="D1" s="45"/>
    </row>
    <row r="2" spans="1:4" ht="23.7" customHeight="1">
      <c r="A2" s="7"/>
      <c r="B2" s="7"/>
      <c r="C2" s="47"/>
      <c r="D2" s="45"/>
    </row>
    <row r="3" spans="1:4" s="1" customFormat="1" ht="38.25" customHeight="1">
      <c r="A3" s="4"/>
      <c r="B3" s="71" t="str">
        <f>CONCATENATE("Inhalt &amp; Hinweise zur Bewertungsmatrix im Vergabeverfahren ''",'Allg. Bieterangaben'!E13,"''")</f>
        <v>Inhalt &amp; Hinweise zur Bewertungsmatrix im Vergabeverfahren ''Entlassmanagement: Digitales Entlass- und Überleitungsmanagement''</v>
      </c>
      <c r="C3" s="5"/>
      <c r="D3" s="45"/>
    </row>
    <row r="4" spans="1:4">
      <c r="A4" s="48"/>
      <c r="B4" s="48"/>
      <c r="C4" s="45"/>
      <c r="D4" s="45"/>
    </row>
    <row r="5" spans="1:4">
      <c r="A5" s="48"/>
      <c r="B5" s="83"/>
      <c r="C5" s="84"/>
      <c r="D5" s="51"/>
    </row>
    <row r="6" spans="1:4">
      <c r="A6" s="48"/>
      <c r="B6" s="54" t="s">
        <v>165</v>
      </c>
      <c r="C6" s="56"/>
      <c r="D6" s="86"/>
    </row>
    <row r="7" spans="1:4" ht="56.7" customHeight="1">
      <c r="A7" s="48"/>
      <c r="B7" s="368" t="s">
        <v>166</v>
      </c>
      <c r="C7" s="367"/>
      <c r="D7" s="51"/>
    </row>
    <row r="8" spans="1:4">
      <c r="A8" s="48"/>
      <c r="B8" s="83"/>
      <c r="C8" s="84"/>
      <c r="D8" s="51"/>
    </row>
    <row r="9" spans="1:4">
      <c r="A9" s="48"/>
      <c r="B9" s="367" t="s">
        <v>167</v>
      </c>
      <c r="C9" s="367"/>
      <c r="D9" s="51"/>
    </row>
    <row r="10" spans="1:4">
      <c r="A10" s="48"/>
      <c r="B10" s="83"/>
      <c r="C10" s="84"/>
      <c r="D10" s="51"/>
    </row>
    <row r="11" spans="1:4">
      <c r="A11" s="48"/>
      <c r="B11" s="54" t="s">
        <v>168</v>
      </c>
      <c r="C11" s="56" t="s">
        <v>169</v>
      </c>
      <c r="D11" s="86"/>
    </row>
    <row r="12" spans="1:4">
      <c r="A12" s="48"/>
      <c r="B12" s="352" t="s">
        <v>170</v>
      </c>
      <c r="C12" s="35" t="s">
        <v>171</v>
      </c>
      <c r="D12" s="51"/>
    </row>
    <row r="13" spans="1:4">
      <c r="A13" s="48"/>
      <c r="B13" s="353" t="s">
        <v>172</v>
      </c>
      <c r="C13" s="35"/>
      <c r="D13" s="51"/>
    </row>
    <row r="14" spans="1:4">
      <c r="A14" s="48"/>
      <c r="B14" s="352" t="s">
        <v>173</v>
      </c>
      <c r="C14" s="35" t="s">
        <v>173</v>
      </c>
      <c r="D14" s="51"/>
    </row>
    <row r="15" spans="1:4">
      <c r="A15" s="48"/>
      <c r="B15" s="352" t="s">
        <v>174</v>
      </c>
      <c r="C15" s="35" t="s">
        <v>174</v>
      </c>
      <c r="D15" s="51"/>
    </row>
    <row r="16" spans="1:4">
      <c r="A16" s="48"/>
      <c r="B16" s="352" t="s">
        <v>175</v>
      </c>
      <c r="C16" s="35" t="s">
        <v>176</v>
      </c>
      <c r="D16" s="51"/>
    </row>
    <row r="17" spans="1:6">
      <c r="A17" s="48"/>
      <c r="B17" s="352" t="s">
        <v>177</v>
      </c>
      <c r="C17" s="35" t="s">
        <v>177</v>
      </c>
      <c r="D17" s="51"/>
    </row>
    <row r="18" spans="1:6">
      <c r="A18" s="48"/>
      <c r="B18" s="352" t="s">
        <v>178</v>
      </c>
      <c r="C18" s="35" t="s">
        <v>179</v>
      </c>
      <c r="D18" s="51"/>
    </row>
    <row r="19" spans="1:6">
      <c r="A19" s="48"/>
      <c r="B19" s="354" t="s">
        <v>180</v>
      </c>
      <c r="C19" s="35" t="s">
        <v>180</v>
      </c>
      <c r="D19" s="51"/>
    </row>
    <row r="20" spans="1:6">
      <c r="A20" s="48"/>
      <c r="B20" s="354" t="s">
        <v>181</v>
      </c>
      <c r="C20" s="35" t="s">
        <v>181</v>
      </c>
      <c r="D20" s="51"/>
      <c r="F20" s="57"/>
    </row>
    <row r="21" spans="1:6">
      <c r="A21" s="48"/>
      <c r="B21" s="354" t="s">
        <v>182</v>
      </c>
      <c r="C21" s="35" t="s">
        <v>182</v>
      </c>
      <c r="D21" s="51"/>
    </row>
    <row r="22" spans="1:6">
      <c r="A22" s="48"/>
      <c r="B22" s="354" t="s">
        <v>183</v>
      </c>
      <c r="C22" s="35" t="s">
        <v>184</v>
      </c>
      <c r="D22" s="51"/>
    </row>
    <row r="23" spans="1:6" ht="14.4">
      <c r="A23" s="48"/>
      <c r="B23" s="351"/>
      <c r="C23" s="35"/>
      <c r="D23" s="51"/>
    </row>
    <row r="24" spans="1:6">
      <c r="A24" s="48"/>
      <c r="B24" s="54" t="s">
        <v>185</v>
      </c>
      <c r="C24" s="11"/>
      <c r="D24" s="11"/>
    </row>
    <row r="25" spans="1:6">
      <c r="A25" s="48"/>
      <c r="B25" s="54"/>
      <c r="C25" s="11"/>
      <c r="D25" s="11"/>
    </row>
    <row r="26" spans="1:6" ht="26.4">
      <c r="A26" s="48"/>
      <c r="B26" s="44" t="s">
        <v>186</v>
      </c>
      <c r="C26" s="58" t="s">
        <v>187</v>
      </c>
      <c r="D26" s="51"/>
    </row>
    <row r="27" spans="1:6">
      <c r="A27" s="48"/>
      <c r="B27" s="44" t="s">
        <v>188</v>
      </c>
      <c r="C27" s="58" t="s">
        <v>189</v>
      </c>
      <c r="D27" s="51"/>
    </row>
    <row r="28" spans="1:6">
      <c r="A28" s="48"/>
      <c r="B28" s="44" t="s">
        <v>190</v>
      </c>
      <c r="C28" s="58" t="s">
        <v>191</v>
      </c>
      <c r="D28" s="51"/>
    </row>
    <row r="29" spans="1:6">
      <c r="A29" s="48"/>
      <c r="B29" s="44" t="s">
        <v>192</v>
      </c>
      <c r="C29" s="58" t="s">
        <v>193</v>
      </c>
      <c r="D29" s="51"/>
    </row>
    <row r="30" spans="1:6">
      <c r="A30" s="48"/>
      <c r="B30" s="305" t="s">
        <v>194</v>
      </c>
      <c r="C30" s="306" t="s">
        <v>195</v>
      </c>
      <c r="D30" s="51"/>
    </row>
    <row r="31" spans="1:6" ht="39.6">
      <c r="A31" s="48"/>
      <c r="B31" s="305" t="s">
        <v>196</v>
      </c>
      <c r="C31" s="306" t="s">
        <v>197</v>
      </c>
      <c r="D31" s="51"/>
    </row>
    <row r="32" spans="1:6">
      <c r="A32" s="48"/>
      <c r="B32" s="44" t="s">
        <v>198</v>
      </c>
      <c r="C32" s="58" t="s">
        <v>199</v>
      </c>
      <c r="D32" s="51"/>
    </row>
    <row r="33" spans="1:4" ht="26.4">
      <c r="A33" s="48"/>
      <c r="B33" s="44" t="s">
        <v>200</v>
      </c>
      <c r="C33" s="58" t="s">
        <v>201</v>
      </c>
      <c r="D33" s="51"/>
    </row>
    <row r="34" spans="1:4">
      <c r="A34" s="48"/>
      <c r="B34" s="44" t="s">
        <v>202</v>
      </c>
      <c r="C34" s="58" t="s">
        <v>203</v>
      </c>
      <c r="D34" s="51"/>
    </row>
    <row r="35" spans="1:4">
      <c r="A35" s="48"/>
      <c r="B35" s="44" t="s">
        <v>204</v>
      </c>
      <c r="C35" s="58" t="s">
        <v>205</v>
      </c>
      <c r="D35" s="51"/>
    </row>
    <row r="36" spans="1:4">
      <c r="A36" s="48"/>
      <c r="B36" s="44" t="s">
        <v>206</v>
      </c>
      <c r="C36" s="58" t="s">
        <v>207</v>
      </c>
      <c r="D36" s="51"/>
    </row>
    <row r="37" spans="1:4">
      <c r="A37" s="48"/>
      <c r="B37" s="44" t="s">
        <v>208</v>
      </c>
      <c r="C37" s="58" t="s">
        <v>209</v>
      </c>
      <c r="D37" s="51"/>
    </row>
    <row r="38" spans="1:4" ht="13.8" thickBot="1">
      <c r="A38" s="77"/>
      <c r="B38" s="93"/>
      <c r="C38" s="85"/>
      <c r="D38" s="85"/>
    </row>
  </sheetData>
  <sheetProtection algorithmName="SHA-512" hashValue="eEx+nMfi7ngbE3jyR4eVLIinvTKeJWb6SXXibavewImWe4VO4ouFeKx7ZOFW8LreSRh1YjqJALp26GPAFMrrkw==" saltValue="tjSnSloNgtzrt0a1/Wf5Aw==" spinCount="100000" sheet="1" objects="1" scenarios="1" selectLockedCells="1"/>
  <dataConsolidate/>
  <mergeCells count="2">
    <mergeCell ref="B9:C9"/>
    <mergeCell ref="B7:C7"/>
  </mergeCells>
  <hyperlinks>
    <hyperlink ref="B12" location="'Allg. Bieterangaben'!A1" display="Allg. Bieterangaben" xr:uid="{C3F408AF-50B1-4688-8347-54DE67063700}"/>
    <hyperlink ref="B14" location="'KHZG Kriterien'!A1" display="KHZG-Kriterien" xr:uid="{216527A7-83A2-45CE-BBF9-65E594BA1844}"/>
    <hyperlink ref="B16" location="Basisifunktionalitäten!A1" display="Basisfunktionalitäten" xr:uid="{106EDDD2-8A31-4010-92F7-FE183BD1319B}"/>
    <hyperlink ref="B17" location="'Funktionale Anforderungen'!A1" display="Funktionale Anforderungen" xr:uid="{32D0FA23-8492-4047-A76F-B11FEB3B5EEB}"/>
    <hyperlink ref="B19" location="Konzepte!A1" display="Konzepte" xr:uid="{59F0631A-25DE-4849-B0F7-9AF81D7686FC}"/>
    <hyperlink ref="B20" location="Bieterpräsentation!A1" display="Bieterpräsentation" xr:uid="{DE666F93-6AF3-4A93-9F3A-EC1CB8C7271A}"/>
    <hyperlink ref="B21" location="Preisblatt!A1" display="Preisblatt" xr:uid="{18CCAE08-BFF1-46AC-BD8C-7A3291380DF4}"/>
    <hyperlink ref="B22" location="Auswertung!A1" display="Auswertung" xr:uid="{6E80A51B-B3B4-4020-87ED-3602FEB23401}"/>
    <hyperlink ref="B18" location="'Datenschutz &amp; Informations.'!A1" display="Datenschutz und Informationssicherheit" xr:uid="{8D155C9A-AABD-43E3-AF6C-7FB61D8070B4}"/>
    <hyperlink ref="B15" location="'02-Generelle Anforderungen'!A1" display="Generelle Anforderungen" xr:uid="{E3DB222E-EE64-43FF-B698-90A87C61D2AB}"/>
  </hyperlinks>
  <pageMargins left="0.7" right="0.7" top="0.78740157499999996" bottom="0.78740157499999996"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
    <tabColor rgb="FF1D466E"/>
  </sheetPr>
  <dimension ref="A1:I26"/>
  <sheetViews>
    <sheetView showGridLines="0" zoomScale="110" zoomScaleNormal="110" workbookViewId="0">
      <pane ySplit="5" topLeftCell="A6" activePane="bottomLeft" state="frozen"/>
      <selection pane="bottomLeft" activeCell="E17" sqref="E17"/>
    </sheetView>
  </sheetViews>
  <sheetFormatPr baseColWidth="10" defaultColWidth="11.44140625" defaultRowHeight="13.2"/>
  <cols>
    <col min="1" max="1" width="11.44140625" style="15" customWidth="1"/>
    <col min="2" max="2" width="3.44140625" style="15" customWidth="1"/>
    <col min="3" max="3" width="14.44140625" style="15" customWidth="1"/>
    <col min="4" max="4" width="4.44140625" style="15" customWidth="1"/>
    <col min="5" max="6" width="72.44140625" style="15" customWidth="1"/>
    <col min="7" max="7" width="4.44140625" style="15" customWidth="1"/>
    <col min="8" max="16384" width="11.44140625" style="15"/>
  </cols>
  <sheetData>
    <row r="1" spans="1:9" ht="81" customHeight="1">
      <c r="A1" s="69"/>
      <c r="B1" s="69"/>
      <c r="C1" s="69"/>
      <c r="D1" s="69"/>
      <c r="E1" s="70"/>
      <c r="F1" s="70"/>
      <c r="G1" s="70"/>
    </row>
    <row r="2" spans="1:9">
      <c r="A2" s="70"/>
      <c r="B2" s="70"/>
      <c r="C2" s="70"/>
      <c r="D2" s="70"/>
      <c r="E2" s="70"/>
      <c r="F2" s="70"/>
      <c r="G2" s="70"/>
    </row>
    <row r="3" spans="1:9" s="2" customFormat="1" ht="38.25" customHeight="1">
      <c r="A3" s="71"/>
      <c r="B3" s="71" t="str">
        <f>CONCATENATE("Bieterdaten von ",'Allg. Bieterangaben'!E17)</f>
        <v xml:space="preserve">Bieterdaten von </v>
      </c>
      <c r="C3" s="71"/>
      <c r="D3" s="71"/>
      <c r="E3" s="71"/>
      <c r="F3" s="71"/>
      <c r="G3" s="71"/>
      <c r="H3" s="72"/>
      <c r="I3" s="73"/>
    </row>
    <row r="4" spans="1:9">
      <c r="A4" s="17"/>
      <c r="B4" s="17"/>
      <c r="C4" s="17"/>
      <c r="D4" s="17"/>
      <c r="E4" s="17"/>
      <c r="F4" s="17"/>
      <c r="G4" s="17"/>
      <c r="H4" s="74"/>
      <c r="I4" s="14"/>
    </row>
    <row r="5" spans="1:9">
      <c r="A5" s="17"/>
      <c r="B5" s="32"/>
      <c r="C5" s="32"/>
      <c r="D5" s="32"/>
      <c r="E5" s="32"/>
      <c r="F5" s="32"/>
      <c r="G5" s="32"/>
      <c r="H5" s="74"/>
      <c r="I5" s="14"/>
    </row>
    <row r="6" spans="1:9">
      <c r="A6" s="17"/>
      <c r="B6" s="67" t="s">
        <v>210</v>
      </c>
      <c r="C6" s="67"/>
      <c r="D6" s="67"/>
      <c r="E6" s="68"/>
      <c r="F6" s="68"/>
      <c r="G6" s="68"/>
    </row>
    <row r="7" spans="1:9">
      <c r="A7" s="17"/>
      <c r="B7" s="28" t="s">
        <v>211</v>
      </c>
      <c r="C7" s="28"/>
      <c r="D7" s="28"/>
      <c r="E7" s="32" t="s">
        <v>212</v>
      </c>
      <c r="F7" s="32"/>
      <c r="G7" s="32"/>
    </row>
    <row r="8" spans="1:9">
      <c r="A8" s="17"/>
      <c r="B8" s="28" t="s">
        <v>213</v>
      </c>
      <c r="C8" s="28"/>
      <c r="D8" s="28"/>
      <c r="E8" s="32" t="s">
        <v>214</v>
      </c>
      <c r="F8" s="32"/>
      <c r="G8" s="32"/>
    </row>
    <row r="9" spans="1:9" ht="14.4">
      <c r="A9" s="17"/>
      <c r="B9" s="28" t="s">
        <v>215</v>
      </c>
      <c r="C9" s="28"/>
      <c r="D9" s="28"/>
      <c r="E9" s="360" t="s">
        <v>1088</v>
      </c>
      <c r="F9" s="32"/>
      <c r="G9" s="32"/>
    </row>
    <row r="10" spans="1:9">
      <c r="A10" s="17"/>
      <c r="B10" s="32"/>
      <c r="C10" s="32"/>
      <c r="D10" s="32"/>
      <c r="E10" s="32"/>
      <c r="F10" s="32"/>
      <c r="G10" s="32"/>
    </row>
    <row r="11" spans="1:9">
      <c r="A11" s="17"/>
      <c r="B11" s="67" t="s">
        <v>216</v>
      </c>
      <c r="C11" s="67"/>
      <c r="D11" s="67"/>
      <c r="E11" s="68"/>
      <c r="F11" s="68"/>
      <c r="G11" s="68"/>
    </row>
    <row r="12" spans="1:9">
      <c r="A12" s="17"/>
      <c r="B12" s="28" t="s">
        <v>217</v>
      </c>
      <c r="C12" s="28"/>
      <c r="D12" s="28"/>
      <c r="E12" s="361" t="s">
        <v>1089</v>
      </c>
      <c r="F12" s="32"/>
      <c r="G12" s="32"/>
    </row>
    <row r="13" spans="1:9">
      <c r="A13" s="17"/>
      <c r="B13" s="28" t="s">
        <v>218</v>
      </c>
      <c r="C13" s="28"/>
      <c r="D13" s="28"/>
      <c r="E13" s="32" t="s">
        <v>219</v>
      </c>
      <c r="F13" s="32"/>
      <c r="G13" s="32"/>
    </row>
    <row r="14" spans="1:9">
      <c r="A14" s="17"/>
      <c r="B14" s="28" t="s">
        <v>220</v>
      </c>
      <c r="C14" s="28"/>
      <c r="D14" s="28"/>
      <c r="E14" s="32" t="s">
        <v>74</v>
      </c>
      <c r="F14" s="32"/>
      <c r="G14" s="32"/>
    </row>
    <row r="15" spans="1:9">
      <c r="A15" s="17"/>
      <c r="B15" s="32"/>
      <c r="C15" s="32"/>
      <c r="D15" s="32"/>
      <c r="E15" s="32"/>
      <c r="F15" s="32"/>
      <c r="G15" s="32"/>
    </row>
    <row r="16" spans="1:9">
      <c r="A16" s="17"/>
      <c r="B16" s="67" t="s">
        <v>221</v>
      </c>
      <c r="C16" s="67"/>
      <c r="D16" s="67"/>
      <c r="E16" s="68"/>
      <c r="F16" s="68"/>
      <c r="G16" s="68"/>
    </row>
    <row r="17" spans="1:7">
      <c r="A17" s="17"/>
      <c r="B17" s="28" t="s">
        <v>222</v>
      </c>
      <c r="C17" s="28"/>
      <c r="D17" s="28"/>
      <c r="E17" s="94"/>
      <c r="F17" s="32"/>
      <c r="G17" s="32"/>
    </row>
    <row r="18" spans="1:7">
      <c r="A18" s="17"/>
      <c r="B18" s="28" t="s">
        <v>223</v>
      </c>
      <c r="C18" s="28"/>
      <c r="D18" s="28"/>
      <c r="E18" s="94"/>
      <c r="F18" s="32"/>
      <c r="G18" s="32"/>
    </row>
    <row r="19" spans="1:7">
      <c r="A19" s="17"/>
      <c r="B19" s="28" t="s">
        <v>224</v>
      </c>
      <c r="C19" s="28"/>
      <c r="D19" s="28"/>
      <c r="E19" s="94"/>
      <c r="F19" s="32"/>
      <c r="G19" s="32"/>
    </row>
    <row r="20" spans="1:7">
      <c r="A20" s="17"/>
      <c r="B20" s="32"/>
      <c r="C20" s="32"/>
      <c r="D20" s="32"/>
      <c r="E20" s="32"/>
      <c r="F20" s="32"/>
      <c r="G20" s="32"/>
    </row>
    <row r="21" spans="1:7">
      <c r="A21" s="17"/>
      <c r="B21" s="67" t="s">
        <v>225</v>
      </c>
      <c r="C21" s="67"/>
      <c r="D21" s="67"/>
      <c r="E21" s="68"/>
      <c r="F21" s="68"/>
      <c r="G21" s="68"/>
    </row>
    <row r="22" spans="1:7">
      <c r="A22" s="17"/>
      <c r="B22" s="28" t="s">
        <v>222</v>
      </c>
      <c r="C22" s="28"/>
      <c r="D22" s="28"/>
      <c r="E22" s="94"/>
      <c r="F22" s="32"/>
      <c r="G22" s="32"/>
    </row>
    <row r="23" spans="1:7">
      <c r="A23" s="17"/>
      <c r="B23" s="28" t="s">
        <v>226</v>
      </c>
      <c r="C23" s="28"/>
      <c r="D23" s="28"/>
      <c r="E23" s="94"/>
      <c r="F23" s="32"/>
      <c r="G23" s="32"/>
    </row>
    <row r="24" spans="1:7">
      <c r="A24" s="17"/>
      <c r="B24" s="28" t="s">
        <v>227</v>
      </c>
      <c r="C24" s="28"/>
      <c r="D24" s="28"/>
      <c r="E24" s="94"/>
      <c r="F24" s="32"/>
      <c r="G24" s="32"/>
    </row>
    <row r="25" spans="1:7">
      <c r="A25" s="17"/>
      <c r="B25" s="32"/>
      <c r="C25" s="32"/>
      <c r="D25" s="32"/>
      <c r="E25" s="32"/>
      <c r="F25" s="32"/>
      <c r="G25" s="32"/>
    </row>
    <row r="26" spans="1:7" ht="13.8" thickBot="1">
      <c r="A26" s="76"/>
      <c r="B26" s="78"/>
      <c r="C26" s="78"/>
      <c r="D26" s="78"/>
      <c r="E26" s="78"/>
      <c r="F26" s="78"/>
      <c r="G26" s="78"/>
    </row>
  </sheetData>
  <sheetProtection algorithmName="SHA-512" hashValue="RrDFVa4Z528pDoANuo9UMhODchtJcFT3xuzdNTiCmVTk02Iuxj1a7ftA+6HmhS0bc/1u1Dk+qlruXQ1pUtaQeg==" saltValue="LQEWmVMDD9x/jDFJRpKsXQ==" spinCount="100000" sheet="1" objects="1" scenarios="1" selectLockedCells="1"/>
  <hyperlinks>
    <hyperlink ref="E9" r:id="rId1" xr:uid="{0EB494B1-A93A-4654-A072-D87BD303D7D0}"/>
  </hyperlinks>
  <pageMargins left="0.7" right="0.7" top="0.78740157499999996" bottom="0.78740157499999996" header="0.3" footer="0.3"/>
  <pageSetup paperSize="9" orientation="portrait"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447E1E2-2BA4-4059-BB06-13E4FDC62D9B}">
          <x14:formula1>
            <xm:f>Auswahlhilfe!$B$6:$B$18</xm:f>
          </x14:formula1>
          <xm:sqref>E14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6B7BE-9B0D-4D4B-9DDF-9B59029C9EA1}">
  <sheetPr>
    <tabColor rgb="FF1D466E"/>
  </sheetPr>
  <dimension ref="A1:A3"/>
  <sheetViews>
    <sheetView workbookViewId="0">
      <selection activeCell="A7" sqref="A7"/>
    </sheetView>
  </sheetViews>
  <sheetFormatPr baseColWidth="10" defaultColWidth="11.44140625" defaultRowHeight="14.4"/>
  <sheetData>
    <row r="1" spans="1:1">
      <c r="A1" t="s">
        <v>228</v>
      </c>
    </row>
    <row r="2" spans="1:1">
      <c r="A2" s="51" t="s">
        <v>94</v>
      </c>
    </row>
    <row r="3" spans="1:1">
      <c r="A3" s="51" t="s">
        <v>75</v>
      </c>
    </row>
  </sheetData>
  <protectedRanges>
    <protectedRange sqref="A2" name="AllowSortFilter"/>
    <protectedRange sqref="A3" name="AllowSortFilter_1"/>
  </protectedRanges>
  <conditionalFormatting sqref="A2:A3">
    <cfRule type="expression" dxfId="86" priority="1">
      <formula>IF($C2="",0,1)+IF($B2="",0,1)=1</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410F6-4FA4-4AAE-9E67-5BBF52E17796}">
  <sheetPr>
    <tabColor rgb="FF1D466E"/>
  </sheetPr>
  <dimension ref="A1:U25"/>
  <sheetViews>
    <sheetView showGridLines="0" topLeftCell="B1" zoomScale="90" zoomScaleNormal="90" workbookViewId="0">
      <pane ySplit="9" topLeftCell="A10" activePane="bottomLeft" state="frozen"/>
      <selection pane="bottomLeft" activeCell="G11" sqref="G11"/>
    </sheetView>
  </sheetViews>
  <sheetFormatPr baseColWidth="10" defaultColWidth="10.44140625" defaultRowHeight="14.4" outlineLevelCol="1"/>
  <cols>
    <col min="1" max="1" width="10.44140625" style="53"/>
    <col min="2" max="3" width="10.44140625" style="44"/>
    <col min="4" max="4" width="91.44140625" style="10" customWidth="1"/>
    <col min="5" max="5" width="18" style="42" bestFit="1" customWidth="1"/>
    <col min="6" max="6" width="10.44140625" style="42" customWidth="1"/>
    <col min="7" max="7" width="43.44140625" style="142" customWidth="1"/>
    <col min="8" max="8" width="24" style="66" customWidth="1"/>
    <col min="9" max="9" width="10.44140625" style="136" customWidth="1"/>
    <col min="10" max="10" width="11.44140625" style="136" customWidth="1"/>
    <col min="11" max="11" width="10.44140625" style="44"/>
    <col min="12" max="12" width="10.44140625" style="136"/>
    <col min="13" max="13" width="10.44140625" style="44"/>
    <col min="14" max="14" width="4.44140625" style="44" customWidth="1"/>
    <col min="15" max="15" width="7.6640625" style="44" hidden="1" customWidth="1" outlineLevel="1"/>
    <col min="16" max="19" width="10.44140625" style="52" hidden="1" customWidth="1" outlineLevel="1"/>
    <col min="20" max="20" width="4" style="52" hidden="1" customWidth="1" outlineLevel="1"/>
    <col min="21" max="21" width="10.44140625" collapsed="1"/>
    <col min="22" max="16384" width="10.44140625" style="44"/>
  </cols>
  <sheetData>
    <row r="1" spans="1:20" s="15" customFormat="1" ht="103.95" customHeight="1">
      <c r="A1" s="21"/>
      <c r="B1" s="13"/>
      <c r="C1" s="13"/>
      <c r="D1" s="43"/>
      <c r="E1" s="13"/>
      <c r="F1" s="13"/>
      <c r="G1" s="45"/>
      <c r="H1" s="13"/>
      <c r="I1" s="13"/>
      <c r="J1" s="13"/>
      <c r="K1" s="13"/>
      <c r="L1" s="13"/>
      <c r="M1" s="13"/>
      <c r="N1" s="13"/>
      <c r="O1" s="14"/>
      <c r="P1" s="14"/>
      <c r="Q1" s="14"/>
      <c r="R1" s="14"/>
      <c r="S1" s="14"/>
      <c r="T1" s="14"/>
    </row>
    <row r="2" spans="1:20" s="15" customFormat="1" ht="21.45" customHeight="1">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4"/>
      <c r="F2" s="16"/>
      <c r="G2" s="138"/>
      <c r="H2" s="16"/>
      <c r="I2" s="24"/>
      <c r="J2" s="24"/>
      <c r="K2" s="12"/>
      <c r="L2" s="24"/>
      <c r="M2" s="12"/>
      <c r="N2" s="12"/>
      <c r="O2" s="14"/>
      <c r="P2" s="14"/>
      <c r="Q2" s="14"/>
      <c r="R2" s="14"/>
      <c r="S2" s="14"/>
      <c r="T2" s="14"/>
    </row>
    <row r="3" spans="1:20" s="89" customFormat="1" ht="38.25" customHeight="1">
      <c r="A3" s="87"/>
      <c r="B3" s="369" t="s">
        <v>173</v>
      </c>
      <c r="C3" s="369"/>
      <c r="D3" s="369"/>
      <c r="E3" s="369"/>
      <c r="F3" s="369"/>
      <c r="G3" s="369"/>
      <c r="H3" s="369"/>
      <c r="I3" s="369"/>
      <c r="J3" s="369"/>
      <c r="K3" s="369"/>
      <c r="L3" s="369"/>
      <c r="M3" s="369"/>
      <c r="N3" s="71"/>
      <c r="O3" s="88"/>
      <c r="P3" s="88"/>
      <c r="Q3" s="88"/>
      <c r="R3" s="88"/>
      <c r="S3" s="88"/>
      <c r="T3" s="88"/>
    </row>
    <row r="4" spans="1:20" s="19" customFormat="1" ht="13.2">
      <c r="A4" s="25"/>
      <c r="B4" s="17"/>
      <c r="C4" s="17"/>
      <c r="D4" s="97"/>
      <c r="E4" s="18"/>
      <c r="F4" s="18"/>
      <c r="G4" s="139"/>
      <c r="H4" s="18"/>
      <c r="I4" s="26"/>
      <c r="J4" s="26"/>
      <c r="K4" s="17"/>
      <c r="L4" s="26"/>
      <c r="M4" s="17"/>
      <c r="N4" s="17"/>
      <c r="O4" s="27"/>
      <c r="P4" s="27"/>
      <c r="Q4" s="27"/>
      <c r="R4" s="27"/>
      <c r="S4" s="27"/>
      <c r="T4" s="27"/>
    </row>
    <row r="5" spans="1:20" s="15" customFormat="1" ht="14.7" customHeight="1">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11 Fragen noch nicht beantwortet. Bitte machen Sie Ihre Angaben in allen noch offenen von 'Bieter/in' auszufüllenden Feldern 'Auskunft' und optional 'Kommentar'.</v>
      </c>
      <c r="D5" s="98"/>
      <c r="E5" s="30"/>
      <c r="F5" s="30"/>
      <c r="G5" s="140"/>
      <c r="H5" s="79"/>
      <c r="I5" s="31"/>
      <c r="J5" s="31"/>
      <c r="K5" s="32"/>
      <c r="L5" s="33"/>
      <c r="M5" s="32"/>
      <c r="N5" s="32"/>
      <c r="O5" s="34" t="s">
        <v>230</v>
      </c>
      <c r="P5" s="34"/>
      <c r="Q5" s="34"/>
      <c r="R5" s="34"/>
      <c r="S5" s="34"/>
      <c r="T5" s="34"/>
    </row>
    <row r="6" spans="1:20" s="15" customFormat="1" ht="14.7" customHeight="1">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30"/>
      <c r="F6" s="30"/>
      <c r="G6" s="140"/>
      <c r="H6" s="79"/>
      <c r="I6" s="31"/>
      <c r="J6" s="31"/>
      <c r="K6" s="32"/>
      <c r="L6" s="33"/>
      <c r="M6" s="32"/>
      <c r="N6" s="32"/>
      <c r="O6" s="14"/>
      <c r="P6" s="14"/>
      <c r="Q6" s="14"/>
      <c r="R6" s="14"/>
      <c r="S6" s="14"/>
      <c r="T6" s="14"/>
    </row>
    <row r="7" spans="1:20" s="15" customFormat="1" ht="13.2">
      <c r="A7" s="25"/>
      <c r="B7" s="32"/>
      <c r="C7" s="29" t="str">
        <f>IF(COUNTIF(B10:B125,"B-Kriterium")&gt;0,CONCATENATE("Es wurden ",COUNTIF(B10:B125,"B-Kriterium")-SUM(R8:S8)," von ",COUNTIF(B10:B125,"B-Kriterium")," B-Kriterien beantwortet und ",ROUND(SUM(L:L),2), " von möglichen ",SUM(J:J)," Punkten erreicht."),"")</f>
        <v>Es wurden 0 von 3 B-Kriterien beantwortet und 0 von möglichen 11 Punkten erreicht.</v>
      </c>
      <c r="D7" s="98"/>
      <c r="E7" s="30"/>
      <c r="F7" s="30"/>
      <c r="G7" s="140"/>
      <c r="H7" s="79"/>
      <c r="I7" s="31"/>
      <c r="J7" s="31"/>
      <c r="K7" s="32"/>
      <c r="L7" s="33"/>
      <c r="M7" s="32"/>
      <c r="N7" s="32"/>
      <c r="O7" s="14"/>
      <c r="P7" s="14"/>
      <c r="Q7" s="14"/>
      <c r="R7" s="14"/>
      <c r="S7" s="14"/>
      <c r="T7" s="14"/>
    </row>
    <row r="8" spans="1:20" s="15" customFormat="1" ht="13.2">
      <c r="A8" s="25"/>
      <c r="B8" s="32"/>
      <c r="C8" s="32"/>
      <c r="D8" s="75"/>
      <c r="E8" s="79"/>
      <c r="F8" s="79"/>
      <c r="G8" s="141"/>
      <c r="H8" s="79"/>
      <c r="I8" s="33"/>
      <c r="J8" s="33"/>
      <c r="K8" s="32"/>
      <c r="L8" s="33"/>
      <c r="M8" s="32"/>
      <c r="N8" s="32"/>
      <c r="O8" s="35"/>
      <c r="P8" s="14">
        <f>SUM(P9:P125)</f>
        <v>8</v>
      </c>
      <c r="Q8" s="14">
        <f t="shared" ref="Q8:T8" si="0">SUM(Q9:Q125)</f>
        <v>0</v>
      </c>
      <c r="R8" s="14">
        <f t="shared" si="0"/>
        <v>3</v>
      </c>
      <c r="S8" s="14">
        <f t="shared" si="0"/>
        <v>0</v>
      </c>
      <c r="T8" s="14">
        <f t="shared" si="0"/>
        <v>0</v>
      </c>
    </row>
    <row r="9" spans="1:20" s="15" customFormat="1" ht="52.8">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row>
    <row r="10" spans="1:20">
      <c r="A10" s="53" t="str">
        <f t="shared" ref="A10:A18" si="1">IF(C10="","","1")</f>
        <v>1</v>
      </c>
      <c r="B10" s="51" t="s">
        <v>153</v>
      </c>
      <c r="C10" s="149" t="s">
        <v>243</v>
      </c>
      <c r="D10" s="55" t="s">
        <v>244</v>
      </c>
      <c r="E10" s="50" t="s">
        <v>153</v>
      </c>
      <c r="F10" s="50" t="s">
        <v>153</v>
      </c>
      <c r="G10" s="316"/>
      <c r="H10" s="317"/>
      <c r="I10" s="80" t="str">
        <f t="shared" ref="I10" si="2">IF(B10="","",IF(B10="B-Kriterium",1,"---"))</f>
        <v/>
      </c>
      <c r="J10" s="80" t="str">
        <f t="shared" ref="J10" si="3">IF(B10="","",IF(B10="A-Kriterium","---",O10))</f>
        <v/>
      </c>
      <c r="K10" s="50" t="str">
        <f t="shared" ref="K10" si="4">IF($B10="A-Kriterium","---",IF(B10="","",IF(AND(B10="B-Kriterium",G10="ja"),J10,0)))</f>
        <v/>
      </c>
      <c r="L10" s="81" t="str">
        <f t="shared" ref="L10:L18" si="5">IF(B10="A-Kriterium","---",IF(B10="","",I10*K10))</f>
        <v/>
      </c>
      <c r="M10" s="42" t="str">
        <f>IF(AND(ISBLANK(G10)=FALSE,B10="B-Kriterium"),"ok",IF($B10="","",_xlfn.IFNA(VLOOKUP(G10,#REF!,2,FALSE),"offen")))</f>
        <v/>
      </c>
      <c r="N10" s="42"/>
      <c r="P10" s="135"/>
      <c r="Q10" s="135"/>
      <c r="R10" s="135"/>
      <c r="S10" s="135"/>
      <c r="T10" s="135"/>
    </row>
    <row r="11" spans="1:20" ht="55.95" customHeight="1">
      <c r="A11" s="53" t="str">
        <f t="shared" si="1"/>
        <v>1</v>
      </c>
      <c r="B11" s="51" t="s">
        <v>75</v>
      </c>
      <c r="C11" s="51" t="s">
        <v>245</v>
      </c>
      <c r="D11" s="55" t="s">
        <v>246</v>
      </c>
      <c r="E11" s="50" t="s">
        <v>113</v>
      </c>
      <c r="F11" s="50" t="s">
        <v>95</v>
      </c>
      <c r="G11" s="95"/>
      <c r="H11" s="100"/>
      <c r="I11" s="80" t="str">
        <f t="shared" ref="I11:I13" si="6">IF(B11="","",IF(B11="B-Kriterium",1,"---"))</f>
        <v>---</v>
      </c>
      <c r="J11" s="80" t="str">
        <f t="shared" ref="J11:J13" si="7">IF(B11="","",IF(B11="A-Kriterium","---",O11))</f>
        <v>---</v>
      </c>
      <c r="K11" s="50" t="str">
        <f t="shared" ref="K11:K13" si="8">IF($B11="A-Kriterium","---",IF(B11="","",IF(AND(B11="B-Kriterium",G11="ja"),J11,0)))</f>
        <v>---</v>
      </c>
      <c r="L11" s="81" t="str">
        <f t="shared" si="5"/>
        <v>---</v>
      </c>
      <c r="M11" s="42" t="str">
        <f t="shared" ref="M11:M25" si="9">IF(AND(ISBLANK(G11)=FALSE,B11="B-Kriterium"),"ok",IF($B11="","",IF(AND(B11="A-Kriterium",G11="ja"),"ok",IF(AND(B11="A-Kriterium",G11="nein"),"nok","offen"))))</f>
        <v>offen</v>
      </c>
      <c r="N11" s="50"/>
      <c r="P11" s="135">
        <f t="shared" ref="P11:P25" si="10">IF(AND($F11="Bieter/in",$B11="A-Kriterium",$M11=P$9),1,0)</f>
        <v>1</v>
      </c>
      <c r="Q11" s="135">
        <f t="shared" ref="Q11:Q25" si="11">IF(AND($F11="Auftragsgeber/in",$B11="A-Kriterium",$M11=Q$9),1,0)</f>
        <v>0</v>
      </c>
      <c r="R11" s="135">
        <f t="shared" ref="R11:R25" si="12">IF(AND($F11="Bieter/in",$B11="B-Kriterium",$M11=R$9),1,0)</f>
        <v>0</v>
      </c>
      <c r="S11" s="135">
        <f t="shared" ref="S11:S25" si="13">IF(AND($F11="Auftragsgeber/in",$B11="B-Kriterium",$M11=S$9),1,0)</f>
        <v>0</v>
      </c>
      <c r="T11" s="135">
        <f t="shared" ref="T11:T12" si="14">IF(M11="nok",1,0)</f>
        <v>0</v>
      </c>
    </row>
    <row r="12" spans="1:20" ht="55.95" customHeight="1">
      <c r="A12" s="21" t="str">
        <f t="shared" ref="A12:A13" si="15">IF(C12="","","1")</f>
        <v>1</v>
      </c>
      <c r="B12" s="51" t="s">
        <v>75</v>
      </c>
      <c r="C12" s="51" t="s">
        <v>247</v>
      </c>
      <c r="D12" s="55" t="s">
        <v>248</v>
      </c>
      <c r="E12" s="50" t="s">
        <v>113</v>
      </c>
      <c r="F12" s="50" t="s">
        <v>95</v>
      </c>
      <c r="G12" s="95"/>
      <c r="H12" s="100"/>
      <c r="I12" s="80" t="str">
        <f t="shared" si="6"/>
        <v>---</v>
      </c>
      <c r="J12" s="80" t="str">
        <f t="shared" si="7"/>
        <v>---</v>
      </c>
      <c r="K12" s="50" t="str">
        <f t="shared" si="8"/>
        <v>---</v>
      </c>
      <c r="L12" s="81" t="str">
        <f t="shared" ref="L12:L13" si="16">IF(B12="A-Kriterium","---",IF(B12="","",I12*K12))</f>
        <v>---</v>
      </c>
      <c r="M12" s="42" t="str">
        <f t="shared" si="9"/>
        <v>offen</v>
      </c>
      <c r="N12" s="50"/>
      <c r="P12" s="135">
        <f t="shared" si="10"/>
        <v>1</v>
      </c>
      <c r="Q12" s="135">
        <f t="shared" si="11"/>
        <v>0</v>
      </c>
      <c r="R12" s="135">
        <f t="shared" si="12"/>
        <v>0</v>
      </c>
      <c r="S12" s="135">
        <f t="shared" si="13"/>
        <v>0</v>
      </c>
      <c r="T12" s="135">
        <f t="shared" si="14"/>
        <v>0</v>
      </c>
    </row>
    <row r="13" spans="1:20" ht="41.7" customHeight="1">
      <c r="A13" s="21" t="str">
        <f t="shared" si="15"/>
        <v>1</v>
      </c>
      <c r="B13" s="51" t="s">
        <v>75</v>
      </c>
      <c r="C13" s="51" t="s">
        <v>249</v>
      </c>
      <c r="D13" s="55" t="s">
        <v>250</v>
      </c>
      <c r="E13" s="50" t="s">
        <v>113</v>
      </c>
      <c r="F13" s="50" t="s">
        <v>95</v>
      </c>
      <c r="G13" s="95"/>
      <c r="H13" s="100"/>
      <c r="I13" s="80" t="str">
        <f t="shared" si="6"/>
        <v>---</v>
      </c>
      <c r="J13" s="80" t="str">
        <f t="shared" si="7"/>
        <v>---</v>
      </c>
      <c r="K13" s="50" t="str">
        <f t="shared" si="8"/>
        <v>---</v>
      </c>
      <c r="L13" s="81" t="str">
        <f t="shared" si="16"/>
        <v>---</v>
      </c>
      <c r="M13" s="42" t="str">
        <f t="shared" si="9"/>
        <v>offen</v>
      </c>
      <c r="N13" s="50"/>
      <c r="P13" s="135">
        <f t="shared" si="10"/>
        <v>1</v>
      </c>
      <c r="Q13" s="135">
        <f t="shared" si="11"/>
        <v>0</v>
      </c>
      <c r="R13" s="135">
        <f t="shared" si="12"/>
        <v>0</v>
      </c>
      <c r="S13" s="135">
        <f t="shared" si="13"/>
        <v>0</v>
      </c>
      <c r="T13" s="135">
        <f t="shared" ref="T13:T25" si="17">IF(M13="nok",1,0)</f>
        <v>0</v>
      </c>
    </row>
    <row r="14" spans="1:20" ht="13.2" customHeight="1">
      <c r="A14" s="21"/>
      <c r="B14" s="51"/>
      <c r="C14" s="51"/>
      <c r="D14" s="55"/>
      <c r="E14" s="50"/>
      <c r="F14" s="50"/>
      <c r="G14" s="50"/>
      <c r="H14" s="50"/>
      <c r="I14" s="80"/>
      <c r="J14" s="80"/>
      <c r="K14" s="50"/>
      <c r="L14" s="81"/>
      <c r="M14" s="80" t="str">
        <f t="shared" si="9"/>
        <v/>
      </c>
      <c r="N14" s="50"/>
      <c r="P14" s="135">
        <f t="shared" si="10"/>
        <v>0</v>
      </c>
      <c r="Q14" s="135">
        <f t="shared" si="11"/>
        <v>0</v>
      </c>
      <c r="R14" s="135">
        <f t="shared" si="12"/>
        <v>0</v>
      </c>
      <c r="S14" s="135">
        <f t="shared" si="13"/>
        <v>0</v>
      </c>
      <c r="T14" s="135">
        <f t="shared" si="17"/>
        <v>0</v>
      </c>
    </row>
    <row r="15" spans="1:20">
      <c r="A15" s="21" t="str">
        <f t="shared" si="1"/>
        <v>1</v>
      </c>
      <c r="B15" s="51" t="s">
        <v>153</v>
      </c>
      <c r="C15" s="150" t="s">
        <v>251</v>
      </c>
      <c r="D15" s="55" t="s">
        <v>252</v>
      </c>
      <c r="E15" s="50" t="s">
        <v>153</v>
      </c>
      <c r="F15" s="50" t="s">
        <v>153</v>
      </c>
      <c r="G15" s="316"/>
      <c r="H15" s="317"/>
      <c r="I15" s="80" t="str">
        <f t="shared" ref="I15:I18" si="18">IF(B15="","",IF(B15="B-Kriterium",1,"---"))</f>
        <v/>
      </c>
      <c r="J15" s="80" t="str">
        <f t="shared" ref="J15" si="19">IF(B15="","",IF(B15="A-Kriterium","---",O15))</f>
        <v/>
      </c>
      <c r="K15" s="50" t="str">
        <f t="shared" ref="K15:K18" si="20">IF($B15="A-Kriterium","---",IF(B15="","",IF(AND(B15="B-Kriterium",G15="ja"),J15,0)))</f>
        <v/>
      </c>
      <c r="L15" s="81" t="str">
        <f t="shared" si="5"/>
        <v/>
      </c>
      <c r="M15" s="42" t="str">
        <f t="shared" si="9"/>
        <v/>
      </c>
      <c r="N15" s="50"/>
      <c r="P15" s="135">
        <f t="shared" si="10"/>
        <v>0</v>
      </c>
      <c r="Q15" s="135">
        <f t="shared" si="11"/>
        <v>0</v>
      </c>
      <c r="R15" s="135">
        <f t="shared" si="12"/>
        <v>0</v>
      </c>
      <c r="S15" s="135">
        <f t="shared" si="13"/>
        <v>0</v>
      </c>
      <c r="T15" s="135">
        <f t="shared" si="17"/>
        <v>0</v>
      </c>
    </row>
    <row r="16" spans="1:20" ht="28.2" customHeight="1">
      <c r="A16" s="21" t="str">
        <f t="shared" si="1"/>
        <v>1</v>
      </c>
      <c r="B16" s="51" t="s">
        <v>94</v>
      </c>
      <c r="C16" s="51" t="s">
        <v>253</v>
      </c>
      <c r="D16" s="55" t="s">
        <v>254</v>
      </c>
      <c r="E16" s="50" t="s">
        <v>113</v>
      </c>
      <c r="F16" s="50" t="s">
        <v>95</v>
      </c>
      <c r="G16" s="95"/>
      <c r="H16" s="100"/>
      <c r="I16" s="80">
        <f t="shared" si="18"/>
        <v>1</v>
      </c>
      <c r="J16" s="80">
        <f>IF(B16="","",IF(B16="A-Kriterium","---",O16))</f>
        <v>5</v>
      </c>
      <c r="K16" s="50">
        <f t="shared" si="20"/>
        <v>0</v>
      </c>
      <c r="L16" s="81">
        <f t="shared" si="5"/>
        <v>0</v>
      </c>
      <c r="M16" s="42" t="str">
        <f t="shared" si="9"/>
        <v>offen</v>
      </c>
      <c r="N16" s="50"/>
      <c r="O16" s="44">
        <v>5</v>
      </c>
      <c r="P16" s="135">
        <f t="shared" si="10"/>
        <v>0</v>
      </c>
      <c r="Q16" s="135">
        <f t="shared" si="11"/>
        <v>0</v>
      </c>
      <c r="R16" s="135">
        <f t="shared" si="12"/>
        <v>1</v>
      </c>
      <c r="S16" s="135">
        <f t="shared" si="13"/>
        <v>0</v>
      </c>
      <c r="T16" s="135">
        <f t="shared" si="17"/>
        <v>0</v>
      </c>
    </row>
    <row r="17" spans="1:20" ht="55.2" customHeight="1">
      <c r="A17" s="21" t="str">
        <f t="shared" si="1"/>
        <v>1</v>
      </c>
      <c r="B17" s="51" t="s">
        <v>94</v>
      </c>
      <c r="C17" s="51" t="s">
        <v>255</v>
      </c>
      <c r="D17" s="55" t="s">
        <v>256</v>
      </c>
      <c r="E17" s="50" t="s">
        <v>113</v>
      </c>
      <c r="F17" s="50" t="s">
        <v>95</v>
      </c>
      <c r="G17" s="95"/>
      <c r="H17" s="100"/>
      <c r="I17" s="80">
        <f t="shared" si="18"/>
        <v>1</v>
      </c>
      <c r="J17" s="80">
        <f t="shared" ref="J17:J18" si="21">IF(B17="","",IF(B17="A-Kriterium","---",O17))</f>
        <v>1</v>
      </c>
      <c r="K17" s="50">
        <f t="shared" si="20"/>
        <v>0</v>
      </c>
      <c r="L17" s="81">
        <f t="shared" si="5"/>
        <v>0</v>
      </c>
      <c r="M17" s="42" t="str">
        <f t="shared" si="9"/>
        <v>offen</v>
      </c>
      <c r="N17" s="50"/>
      <c r="O17" s="44">
        <v>1</v>
      </c>
      <c r="P17" s="135">
        <f t="shared" si="10"/>
        <v>0</v>
      </c>
      <c r="Q17" s="135">
        <f t="shared" si="11"/>
        <v>0</v>
      </c>
      <c r="R17" s="135">
        <f t="shared" si="12"/>
        <v>1</v>
      </c>
      <c r="S17" s="135">
        <f t="shared" si="13"/>
        <v>0</v>
      </c>
      <c r="T17" s="135">
        <f t="shared" si="17"/>
        <v>0</v>
      </c>
    </row>
    <row r="18" spans="1:20" ht="28.2" customHeight="1">
      <c r="A18" s="21" t="str">
        <f t="shared" si="1"/>
        <v>1</v>
      </c>
      <c r="B18" s="51" t="s">
        <v>94</v>
      </c>
      <c r="C18" s="51" t="s">
        <v>257</v>
      </c>
      <c r="D18" s="55" t="s">
        <v>258</v>
      </c>
      <c r="E18" s="50" t="s">
        <v>113</v>
      </c>
      <c r="F18" s="50" t="s">
        <v>95</v>
      </c>
      <c r="G18" s="95"/>
      <c r="H18" s="100"/>
      <c r="I18" s="80">
        <f t="shared" si="18"/>
        <v>1</v>
      </c>
      <c r="J18" s="80">
        <f t="shared" si="21"/>
        <v>5</v>
      </c>
      <c r="K18" s="50">
        <f t="shared" si="20"/>
        <v>0</v>
      </c>
      <c r="L18" s="81">
        <f t="shared" si="5"/>
        <v>0</v>
      </c>
      <c r="M18" s="42" t="str">
        <f t="shared" si="9"/>
        <v>offen</v>
      </c>
      <c r="N18" s="50"/>
      <c r="O18" s="44">
        <v>5</v>
      </c>
      <c r="P18" s="135">
        <f t="shared" si="10"/>
        <v>0</v>
      </c>
      <c r="Q18" s="135">
        <f t="shared" si="11"/>
        <v>0</v>
      </c>
      <c r="R18" s="135">
        <f t="shared" si="12"/>
        <v>1</v>
      </c>
      <c r="S18" s="135">
        <f t="shared" si="13"/>
        <v>0</v>
      </c>
      <c r="T18" s="135">
        <f t="shared" si="17"/>
        <v>0</v>
      </c>
    </row>
    <row r="19" spans="1:20" ht="13.2" customHeight="1">
      <c r="A19" s="21"/>
      <c r="B19" s="51"/>
      <c r="C19" s="51"/>
      <c r="D19" s="55"/>
      <c r="E19" s="50"/>
      <c r="F19" s="50"/>
      <c r="G19" s="50"/>
      <c r="H19" s="50"/>
      <c r="I19" s="50"/>
      <c r="J19" s="50"/>
      <c r="K19" s="50"/>
      <c r="L19" s="50"/>
      <c r="M19" s="50" t="str">
        <f t="shared" si="9"/>
        <v/>
      </c>
      <c r="N19" s="50"/>
      <c r="P19" s="135">
        <f t="shared" si="10"/>
        <v>0</v>
      </c>
      <c r="Q19" s="135">
        <f t="shared" si="11"/>
        <v>0</v>
      </c>
      <c r="R19" s="135">
        <f t="shared" si="12"/>
        <v>0</v>
      </c>
      <c r="S19" s="135">
        <f t="shared" si="13"/>
        <v>0</v>
      </c>
      <c r="T19" s="135">
        <f t="shared" si="17"/>
        <v>0</v>
      </c>
    </row>
    <row r="20" spans="1:20">
      <c r="A20" s="21" t="str">
        <f t="shared" ref="A20:A24" si="22">IF(C20="","","1")</f>
        <v>1</v>
      </c>
      <c r="B20" s="51" t="s">
        <v>153</v>
      </c>
      <c r="C20" s="150" t="s">
        <v>259</v>
      </c>
      <c r="D20" s="55" t="s">
        <v>260</v>
      </c>
      <c r="E20" s="50" t="s">
        <v>153</v>
      </c>
      <c r="F20" s="50" t="s">
        <v>153</v>
      </c>
      <c r="G20" s="316"/>
      <c r="H20" s="317"/>
      <c r="I20" s="80" t="str">
        <f t="shared" ref="I20:I25" si="23">IF(B20="","",IF(B20="B-Kriterium",1,"---"))</f>
        <v/>
      </c>
      <c r="J20" s="80" t="str">
        <f t="shared" ref="J20:J25" si="24">IF(B20="","",IF(B20="A-Kriterium","---",O20))</f>
        <v/>
      </c>
      <c r="K20" s="50" t="str">
        <f t="shared" ref="K20:K25" si="25">IF($B20="A-Kriterium","---",IF(B20="","",IF(AND(B20="B-Kriterium",G20="ja"),J20,0)))</f>
        <v/>
      </c>
      <c r="L20" s="81" t="str">
        <f t="shared" ref="L20:L25" si="26">IF(B20="A-Kriterium","---",IF(B20="","",I20*K20))</f>
        <v/>
      </c>
      <c r="M20" s="42" t="str">
        <f t="shared" si="9"/>
        <v/>
      </c>
      <c r="N20" s="50"/>
      <c r="P20" s="135">
        <f t="shared" si="10"/>
        <v>0</v>
      </c>
      <c r="Q20" s="135">
        <f t="shared" si="11"/>
        <v>0</v>
      </c>
      <c r="R20" s="135">
        <f t="shared" si="12"/>
        <v>0</v>
      </c>
      <c r="S20" s="135">
        <f t="shared" si="13"/>
        <v>0</v>
      </c>
      <c r="T20" s="135">
        <f t="shared" si="17"/>
        <v>0</v>
      </c>
    </row>
    <row r="21" spans="1:20" ht="40.200000000000003" customHeight="1">
      <c r="A21" s="53" t="str">
        <f t="shared" si="22"/>
        <v>1</v>
      </c>
      <c r="B21" s="51" t="s">
        <v>75</v>
      </c>
      <c r="C21" s="51" t="s">
        <v>261</v>
      </c>
      <c r="D21" s="55" t="s">
        <v>262</v>
      </c>
      <c r="E21" s="50" t="s">
        <v>113</v>
      </c>
      <c r="F21" s="50" t="s">
        <v>95</v>
      </c>
      <c r="G21" s="95"/>
      <c r="H21" s="100"/>
      <c r="I21" s="80" t="str">
        <f t="shared" si="23"/>
        <v>---</v>
      </c>
      <c r="J21" s="80" t="str">
        <f t="shared" si="24"/>
        <v>---</v>
      </c>
      <c r="K21" s="50" t="str">
        <f t="shared" si="25"/>
        <v>---</v>
      </c>
      <c r="L21" s="81" t="str">
        <f t="shared" si="26"/>
        <v>---</v>
      </c>
      <c r="M21" s="42" t="str">
        <f t="shared" si="9"/>
        <v>offen</v>
      </c>
      <c r="N21" s="50"/>
      <c r="P21" s="135">
        <f t="shared" si="10"/>
        <v>1</v>
      </c>
      <c r="Q21" s="135">
        <f t="shared" si="11"/>
        <v>0</v>
      </c>
      <c r="R21" s="135">
        <f t="shared" si="12"/>
        <v>0</v>
      </c>
      <c r="S21" s="135">
        <f t="shared" si="13"/>
        <v>0</v>
      </c>
      <c r="T21" s="135">
        <f t="shared" si="17"/>
        <v>0</v>
      </c>
    </row>
    <row r="22" spans="1:20" ht="28.5" customHeight="1">
      <c r="A22" s="53" t="str">
        <f t="shared" si="22"/>
        <v>1</v>
      </c>
      <c r="B22" s="51" t="s">
        <v>75</v>
      </c>
      <c r="C22" s="51" t="s">
        <v>263</v>
      </c>
      <c r="D22" s="55" t="s">
        <v>264</v>
      </c>
      <c r="E22" s="50" t="s">
        <v>113</v>
      </c>
      <c r="F22" s="50" t="s">
        <v>95</v>
      </c>
      <c r="G22" s="95"/>
      <c r="H22" s="100"/>
      <c r="I22" s="80" t="str">
        <f t="shared" si="23"/>
        <v>---</v>
      </c>
      <c r="J22" s="80" t="str">
        <f t="shared" si="24"/>
        <v>---</v>
      </c>
      <c r="K22" s="50" t="str">
        <f t="shared" si="25"/>
        <v>---</v>
      </c>
      <c r="L22" s="81" t="str">
        <f t="shared" si="26"/>
        <v>---</v>
      </c>
      <c r="M22" s="42" t="str">
        <f t="shared" si="9"/>
        <v>offen</v>
      </c>
      <c r="N22" s="50"/>
      <c r="P22" s="135">
        <f t="shared" si="10"/>
        <v>1</v>
      </c>
      <c r="Q22" s="135">
        <f t="shared" si="11"/>
        <v>0</v>
      </c>
      <c r="R22" s="135">
        <f t="shared" si="12"/>
        <v>0</v>
      </c>
      <c r="S22" s="135">
        <f t="shared" si="13"/>
        <v>0</v>
      </c>
      <c r="T22" s="135">
        <f t="shared" si="17"/>
        <v>0</v>
      </c>
    </row>
    <row r="23" spans="1:20" ht="30" customHeight="1">
      <c r="A23" s="53" t="str">
        <f t="shared" si="22"/>
        <v>1</v>
      </c>
      <c r="B23" s="51" t="s">
        <v>75</v>
      </c>
      <c r="C23" s="51" t="s">
        <v>265</v>
      </c>
      <c r="D23" s="55" t="s">
        <v>266</v>
      </c>
      <c r="E23" s="50" t="s">
        <v>113</v>
      </c>
      <c r="F23" s="50" t="s">
        <v>95</v>
      </c>
      <c r="G23" s="95"/>
      <c r="H23" s="100"/>
      <c r="I23" s="80" t="str">
        <f t="shared" si="23"/>
        <v>---</v>
      </c>
      <c r="J23" s="80" t="str">
        <f t="shared" si="24"/>
        <v>---</v>
      </c>
      <c r="K23" s="50" t="str">
        <f t="shared" si="25"/>
        <v>---</v>
      </c>
      <c r="L23" s="81" t="str">
        <f t="shared" si="26"/>
        <v>---</v>
      </c>
      <c r="M23" s="42" t="str">
        <f t="shared" si="9"/>
        <v>offen</v>
      </c>
      <c r="N23" s="50"/>
      <c r="P23" s="135">
        <f t="shared" si="10"/>
        <v>1</v>
      </c>
      <c r="Q23" s="135">
        <f t="shared" si="11"/>
        <v>0</v>
      </c>
      <c r="R23" s="135">
        <f t="shared" si="12"/>
        <v>0</v>
      </c>
      <c r="S23" s="135">
        <f t="shared" si="13"/>
        <v>0</v>
      </c>
      <c r="T23" s="135">
        <f t="shared" si="17"/>
        <v>0</v>
      </c>
    </row>
    <row r="24" spans="1:20" ht="27" customHeight="1">
      <c r="A24" s="53" t="str">
        <f t="shared" si="22"/>
        <v>1</v>
      </c>
      <c r="B24" s="51" t="s">
        <v>75</v>
      </c>
      <c r="C24" s="51" t="s">
        <v>267</v>
      </c>
      <c r="D24" s="55" t="s">
        <v>268</v>
      </c>
      <c r="E24" s="50" t="s">
        <v>113</v>
      </c>
      <c r="F24" s="50" t="s">
        <v>95</v>
      </c>
      <c r="G24" s="95"/>
      <c r="H24" s="100"/>
      <c r="I24" s="80" t="str">
        <f t="shared" si="23"/>
        <v>---</v>
      </c>
      <c r="J24" s="80" t="str">
        <f t="shared" si="24"/>
        <v>---</v>
      </c>
      <c r="K24" s="50" t="str">
        <f t="shared" si="25"/>
        <v>---</v>
      </c>
      <c r="L24" s="81" t="str">
        <f t="shared" si="26"/>
        <v>---</v>
      </c>
      <c r="M24" s="42" t="str">
        <f t="shared" si="9"/>
        <v>offen</v>
      </c>
      <c r="N24" s="50"/>
      <c r="P24" s="135">
        <f t="shared" si="10"/>
        <v>1</v>
      </c>
      <c r="Q24" s="135">
        <f t="shared" si="11"/>
        <v>0</v>
      </c>
      <c r="R24" s="135">
        <f t="shared" si="12"/>
        <v>0</v>
      </c>
      <c r="S24" s="135">
        <f t="shared" si="13"/>
        <v>0</v>
      </c>
      <c r="T24" s="135">
        <f t="shared" si="17"/>
        <v>0</v>
      </c>
    </row>
    <row r="25" spans="1:20">
      <c r="A25" s="53" t="str">
        <f>IF(C25="","","1")</f>
        <v>1</v>
      </c>
      <c r="B25" s="51" t="s">
        <v>75</v>
      </c>
      <c r="C25" s="51" t="s">
        <v>269</v>
      </c>
      <c r="D25" s="55" t="s">
        <v>270</v>
      </c>
      <c r="E25" s="50" t="s">
        <v>113</v>
      </c>
      <c r="F25" s="50" t="s">
        <v>95</v>
      </c>
      <c r="G25" s="95"/>
      <c r="H25" s="100"/>
      <c r="I25" s="80" t="str">
        <f t="shared" si="23"/>
        <v>---</v>
      </c>
      <c r="J25" s="80" t="str">
        <f t="shared" si="24"/>
        <v>---</v>
      </c>
      <c r="K25" s="50" t="str">
        <f t="shared" si="25"/>
        <v>---</v>
      </c>
      <c r="L25" s="81" t="str">
        <f t="shared" si="26"/>
        <v>---</v>
      </c>
      <c r="M25" s="42" t="str">
        <f t="shared" si="9"/>
        <v>offen</v>
      </c>
      <c r="N25" s="50"/>
      <c r="P25" s="135">
        <f t="shared" si="10"/>
        <v>1</v>
      </c>
      <c r="Q25" s="135">
        <f t="shared" si="11"/>
        <v>0</v>
      </c>
      <c r="R25" s="135">
        <f t="shared" si="12"/>
        <v>0</v>
      </c>
      <c r="S25" s="135">
        <f t="shared" si="13"/>
        <v>0</v>
      </c>
      <c r="T25" s="135">
        <f t="shared" si="17"/>
        <v>0</v>
      </c>
    </row>
  </sheetData>
  <sheetProtection algorithmName="SHA-512" hashValue="vWvtrH+7I4toUjJzd9NaaIuBjTPOTkJvnLqrnWRkZYx3s4HeiZJWfYIFuw4X0Tn6Fb0G54bRxPfHjLTp6yoGLQ==" saltValue="uiVmi9kWmmGCxBmGIIdRrA==" spinCount="100000" sheet="1" selectLockedCells="1" sort="0" autoFilter="0"/>
  <protectedRanges>
    <protectedRange sqref="L9:T9 A9:I9 A10:T25" name="AllowSortFilter"/>
    <protectedRange sqref="J9:K9" name="AllowSortFilter_1"/>
  </protectedRanges>
  <autoFilter ref="A9:M25" xr:uid="{00000000-0009-0000-0000-00000B000000}"/>
  <mergeCells count="3">
    <mergeCell ref="B3:E3"/>
    <mergeCell ref="F3:I3"/>
    <mergeCell ref="J3:M3"/>
  </mergeCells>
  <phoneticPr fontId="5" type="noConversion"/>
  <conditionalFormatting sqref="A10:A25">
    <cfRule type="expression" dxfId="85" priority="15">
      <formula>$A10="1"</formula>
    </cfRule>
  </conditionalFormatting>
  <conditionalFormatting sqref="B10:O20 M12:M25 B21:D25">
    <cfRule type="expression" dxfId="84" priority="3">
      <formula>IF($C10="",0,1)+IF($B10="",0,1)=1</formula>
    </cfRule>
  </conditionalFormatting>
  <conditionalFormatting sqref="E21:O25">
    <cfRule type="expression" dxfId="83" priority="19">
      <formula>IF($C21="",0,1)+IF($B21="",0,1)=1</formula>
    </cfRule>
  </conditionalFormatting>
  <conditionalFormatting sqref="G10:H25">
    <cfRule type="expression" dxfId="82" priority="10">
      <formula>$B10="B-Kriterium"</formula>
    </cfRule>
    <cfRule type="expression" dxfId="81" priority="11">
      <formula>$B10="A-Kriterium"</formula>
    </cfRule>
  </conditionalFormatting>
  <conditionalFormatting sqref="M10:O25">
    <cfRule type="cellIs" dxfId="80" priority="16" operator="equal">
      <formula>"offen"</formula>
    </cfRule>
    <cfRule type="cellIs" dxfId="79" priority="17" operator="equal">
      <formula>"ok"</formula>
    </cfRule>
    <cfRule type="cellIs" dxfId="78" priority="18" operator="equal">
      <formula>"nok"</formula>
    </cfRule>
  </conditionalFormatting>
  <conditionalFormatting sqref="O10:O25">
    <cfRule type="expression" dxfId="77" priority="1">
      <formula>$B10="B-Kriterium"</formula>
    </cfRule>
  </conditionalFormatting>
  <dataValidations count="2">
    <dataValidation type="list" allowBlank="1" showInputMessage="1" showErrorMessage="1" sqref="G16:G19 G11:G14 G21:G25" xr:uid="{ED6E6D0B-1538-4268-9D2A-3E9591AF5D4A}">
      <formula1>"ja,nein"</formula1>
    </dataValidation>
    <dataValidation type="list" allowBlank="1" showInputMessage="1" showErrorMessage="1" sqref="G15 G10 G20" xr:uid="{AE88A81C-769B-45DF-AE10-B1DC7FF40CB3}">
      <formula1>IF(O10="","",INDIRECT("tab_wertebereich_inhalt["&amp;O10&amp;"]"))</formula1>
    </dataValidation>
  </dataValidations>
  <pageMargins left="0.7" right="0.7" top="0.78740157499999996" bottom="0.78740157499999996" header="0.3" footer="0.3"/>
  <pageSetup paperSize="9"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FDBC114-6B4F-4CAF-A13E-6D8AB0C52447}">
          <x14:formula1>
            <xm:f>Tabelle1!$A$2:$A$3</xm:f>
          </x14:formula1>
          <xm:sqref>B10:B1048576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6F9C7-858B-488B-831B-596D23C7E477}">
  <sheetPr>
    <tabColor rgb="FF1D466E"/>
  </sheetPr>
  <dimension ref="A1:W27"/>
  <sheetViews>
    <sheetView showGridLines="0" zoomScale="90" zoomScaleNormal="90" workbookViewId="0">
      <pane ySplit="9" topLeftCell="A10" activePane="bottomLeft" state="frozen"/>
      <selection pane="bottomLeft" activeCell="G11" sqref="G11"/>
    </sheetView>
  </sheetViews>
  <sheetFormatPr baseColWidth="10" defaultColWidth="10.44140625" defaultRowHeight="14.4" outlineLevelCol="1"/>
  <cols>
    <col min="1" max="1" width="10.44140625" style="53"/>
    <col min="2" max="2" width="10.44140625" style="44"/>
    <col min="3" max="3" width="13.6640625" style="44" customWidth="1"/>
    <col min="4" max="4" width="91.44140625" style="10" customWidth="1"/>
    <col min="5" max="5" width="18" style="42" bestFit="1" customWidth="1"/>
    <col min="6" max="6" width="10.44140625" style="42" customWidth="1"/>
    <col min="7" max="7" width="43.44140625" style="142" customWidth="1"/>
    <col min="8" max="8" width="24" style="66" customWidth="1"/>
    <col min="9" max="9" width="10.44140625" style="136" customWidth="1"/>
    <col min="10" max="10" width="11.44140625" style="136" customWidth="1"/>
    <col min="11" max="11" width="10.44140625" style="44" customWidth="1"/>
    <col min="12" max="12" width="10.44140625" style="136" customWidth="1"/>
    <col min="13" max="13" width="10.44140625" style="44" customWidth="1"/>
    <col min="14" max="14" width="4.44140625" style="44" customWidth="1"/>
    <col min="15" max="15" width="7.6640625" style="44" hidden="1" customWidth="1" outlineLevel="1"/>
    <col min="16" max="19" width="10.44140625" style="52" hidden="1" customWidth="1" outlineLevel="1"/>
    <col min="20" max="20" width="4" style="52" hidden="1" customWidth="1" outlineLevel="1"/>
    <col min="21" max="21" width="10.44140625" customWidth="1" collapsed="1"/>
    <col min="22" max="23" width="10.44140625" style="44" customWidth="1"/>
    <col min="24" max="16384" width="10.44140625" style="44"/>
  </cols>
  <sheetData>
    <row r="1" spans="1:20" s="15" customFormat="1" ht="103.95" customHeight="1">
      <c r="A1" s="21"/>
      <c r="B1" s="13"/>
      <c r="C1" s="13"/>
      <c r="D1" s="43"/>
      <c r="E1" s="13"/>
      <c r="F1" s="13"/>
      <c r="G1" s="45"/>
      <c r="H1" s="13"/>
      <c r="I1" s="13"/>
      <c r="J1" s="13"/>
      <c r="K1" s="13"/>
      <c r="L1" s="13"/>
      <c r="M1" s="13"/>
      <c r="N1" s="13"/>
      <c r="O1" s="14"/>
      <c r="P1" s="14"/>
      <c r="Q1" s="14"/>
      <c r="R1" s="14"/>
      <c r="S1" s="14"/>
      <c r="T1" s="14"/>
    </row>
    <row r="2" spans="1:20" s="15" customFormat="1" ht="21.45" customHeight="1">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4"/>
      <c r="F2" s="16"/>
      <c r="G2" s="138"/>
      <c r="H2" s="16"/>
      <c r="I2" s="24"/>
      <c r="J2" s="24"/>
      <c r="K2" s="12"/>
      <c r="L2" s="24"/>
      <c r="M2" s="12"/>
      <c r="N2" s="12"/>
      <c r="O2" s="14"/>
      <c r="P2" s="14"/>
      <c r="Q2" s="14"/>
      <c r="R2" s="14"/>
      <c r="S2" s="14"/>
      <c r="T2" s="14"/>
    </row>
    <row r="3" spans="1:20" s="89" customFormat="1" ht="38.25" customHeight="1">
      <c r="A3" s="87"/>
      <c r="B3" s="369" t="s">
        <v>173</v>
      </c>
      <c r="C3" s="369"/>
      <c r="D3" s="369"/>
      <c r="E3" s="369"/>
      <c r="F3" s="369"/>
      <c r="G3" s="369"/>
      <c r="H3" s="369"/>
      <c r="I3" s="369"/>
      <c r="J3" s="369"/>
      <c r="K3" s="369"/>
      <c r="L3" s="369"/>
      <c r="M3" s="369"/>
      <c r="N3" s="71"/>
      <c r="O3" s="88"/>
      <c r="P3" s="88"/>
      <c r="Q3" s="88"/>
      <c r="R3" s="88"/>
      <c r="S3" s="88"/>
      <c r="T3" s="88"/>
    </row>
    <row r="4" spans="1:20" s="19" customFormat="1" ht="13.2">
      <c r="A4" s="25"/>
      <c r="B4" s="17"/>
      <c r="C4" s="17"/>
      <c r="D4" s="97"/>
      <c r="E4" s="18"/>
      <c r="F4" s="18"/>
      <c r="G4" s="139"/>
      <c r="H4" s="18"/>
      <c r="I4" s="26"/>
      <c r="J4" s="26"/>
      <c r="K4" s="17"/>
      <c r="L4" s="26"/>
      <c r="M4" s="17"/>
      <c r="N4" s="17"/>
      <c r="O4" s="27"/>
      <c r="P4" s="27"/>
      <c r="Q4" s="27"/>
      <c r="R4" s="27"/>
      <c r="S4" s="27"/>
      <c r="T4" s="27"/>
    </row>
    <row r="5" spans="1:20" s="15" customFormat="1" ht="14.7" customHeight="1">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17 Fragen noch nicht beantwortet. Bitte machen Sie Ihre Angaben in allen noch offenen von 'Bieter/in' auszufüllenden Feldern 'Auskunft' und optional 'Kommentar'.</v>
      </c>
      <c r="D5" s="98"/>
      <c r="E5" s="30"/>
      <c r="F5" s="30"/>
      <c r="G5" s="140"/>
      <c r="H5" s="79"/>
      <c r="I5" s="31"/>
      <c r="J5" s="31"/>
      <c r="K5" s="32"/>
      <c r="L5" s="33"/>
      <c r="M5" s="32"/>
      <c r="N5" s="32"/>
      <c r="O5" s="34" t="s">
        <v>230</v>
      </c>
      <c r="P5" s="34"/>
      <c r="Q5" s="34"/>
      <c r="R5" s="34"/>
      <c r="S5" s="34"/>
      <c r="T5" s="34"/>
    </row>
    <row r="6" spans="1:20" s="15" customFormat="1" ht="14.7" customHeight="1">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30"/>
      <c r="F6" s="30"/>
      <c r="G6" s="140"/>
      <c r="H6" s="79"/>
      <c r="I6" s="31"/>
      <c r="J6" s="31"/>
      <c r="K6" s="32"/>
      <c r="L6" s="33"/>
      <c r="M6" s="32"/>
      <c r="N6" s="32"/>
      <c r="O6" s="14"/>
      <c r="P6" s="14"/>
      <c r="Q6" s="14"/>
      <c r="R6" s="14"/>
      <c r="S6" s="14"/>
      <c r="T6" s="14"/>
    </row>
    <row r="7" spans="1:20" s="15" customFormat="1" ht="13.2">
      <c r="A7" s="25"/>
      <c r="B7" s="32"/>
      <c r="C7" s="29" t="str">
        <f>IF(COUNTIF(B10:B95,"B-Kriterium")&gt;0,CONCATENATE("Es wurden ",COUNTIF(B10:B95,"B-Kriterium")-SUM(R8:S8)," von ",COUNTIF(B10:B95,"B-Kriterium")," B-Kriterien beantwortet und ",ROUND(SUM(L:L),2), " von möglichen ",SUM(J:J)," Punkten erreicht."),"")</f>
        <v>Es wurden 0 von 7 B-Kriterien beantwortet und 0 von möglichen 23 Punkten erreicht.</v>
      </c>
      <c r="D7" s="98"/>
      <c r="E7" s="30"/>
      <c r="F7" s="30"/>
      <c r="G7" s="140"/>
      <c r="H7" s="79"/>
      <c r="I7" s="31"/>
      <c r="J7" s="31"/>
      <c r="K7" s="32"/>
      <c r="L7" s="33"/>
      <c r="M7" s="32"/>
      <c r="N7" s="32"/>
      <c r="O7" s="14"/>
      <c r="P7" s="14"/>
      <c r="Q7" s="14"/>
      <c r="R7" s="14"/>
      <c r="S7" s="14"/>
      <c r="T7" s="14"/>
    </row>
    <row r="8" spans="1:20" s="15" customFormat="1" ht="13.2">
      <c r="A8" s="25"/>
      <c r="B8" s="32"/>
      <c r="C8" s="32"/>
      <c r="D8" s="75"/>
      <c r="E8" s="79"/>
      <c r="F8" s="79"/>
      <c r="G8" s="141"/>
      <c r="H8" s="79"/>
      <c r="I8" s="33"/>
      <c r="J8" s="33"/>
      <c r="K8" s="32"/>
      <c r="L8" s="33"/>
      <c r="M8" s="32"/>
      <c r="N8" s="32"/>
      <c r="O8" s="35"/>
      <c r="P8" s="14">
        <f>SUM(P9:P95)</f>
        <v>10</v>
      </c>
      <c r="Q8" s="14">
        <f>SUM(Q9:Q95)</f>
        <v>0</v>
      </c>
      <c r="R8" s="14">
        <f>SUM(R9:R95)</f>
        <v>7</v>
      </c>
      <c r="S8" s="14">
        <f>SUM(S9:S95)</f>
        <v>0</v>
      </c>
      <c r="T8" s="14">
        <f>SUM(T9:T95)</f>
        <v>0</v>
      </c>
    </row>
    <row r="9" spans="1:20" s="15" customFormat="1" ht="52.8">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row>
    <row r="10" spans="1:20">
      <c r="A10" s="53" t="str">
        <f t="shared" ref="A10:A17" si="0">IF(C10="","","1")</f>
        <v>1</v>
      </c>
      <c r="B10" s="51"/>
      <c r="C10" s="149" t="s">
        <v>271</v>
      </c>
      <c r="D10" s="55" t="s">
        <v>272</v>
      </c>
      <c r="E10" s="50" t="s">
        <v>153</v>
      </c>
      <c r="F10" s="50" t="s">
        <v>153</v>
      </c>
      <c r="G10" s="316"/>
      <c r="H10" s="317"/>
      <c r="I10" s="80" t="str">
        <f t="shared" ref="I10:I12" si="1">IF(B10="","",IF(B10="B-Kriterium",1,"---"))</f>
        <v/>
      </c>
      <c r="J10" s="80" t="str">
        <f t="shared" ref="J10:J12" si="2">IF(B10="","",IF(B10="A-Kriterium","---",O10))</f>
        <v/>
      </c>
      <c r="K10" s="50" t="str">
        <f t="shared" ref="K10:K12" si="3">IF($B10="A-Kriterium","---",IF(B10="","",IF(AND(B10="B-Kriterium",G10="ja"),J10,0)))</f>
        <v/>
      </c>
      <c r="L10" s="81" t="str">
        <f t="shared" ref="L10:L17" si="4">IF(B10="A-Kriterium","---",IF(B10="","",I10*K10))</f>
        <v/>
      </c>
      <c r="M10" s="42" t="str">
        <f>IF(AND(ISBLANK(G10)=FALSE,B10="B-Kriterium"),"ok",IF($B10="","",_xlfn.IFNA(VLOOKUP(G10,#REF!,2,FALSE),"offen")))</f>
        <v/>
      </c>
      <c r="N10" s="42"/>
      <c r="P10" s="135"/>
      <c r="Q10" s="135"/>
      <c r="R10" s="135"/>
      <c r="S10" s="135"/>
      <c r="T10" s="135"/>
    </row>
    <row r="11" spans="1:20" ht="26.4">
      <c r="A11" s="53" t="str">
        <f t="shared" si="0"/>
        <v>1</v>
      </c>
      <c r="B11" s="51" t="s">
        <v>75</v>
      </c>
      <c r="C11" s="51" t="s">
        <v>273</v>
      </c>
      <c r="D11" s="55" t="s">
        <v>274</v>
      </c>
      <c r="E11" s="290" t="s">
        <v>275</v>
      </c>
      <c r="F11" s="50" t="s">
        <v>95</v>
      </c>
      <c r="G11" s="95"/>
      <c r="H11" s="100"/>
      <c r="I11" s="80" t="str">
        <f t="shared" si="1"/>
        <v>---</v>
      </c>
      <c r="J11" s="80" t="str">
        <f t="shared" si="2"/>
        <v>---</v>
      </c>
      <c r="K11" s="50" t="str">
        <f t="shared" si="3"/>
        <v>---</v>
      </c>
      <c r="L11" s="81" t="str">
        <f t="shared" si="4"/>
        <v>---</v>
      </c>
      <c r="M11" s="42" t="str">
        <f t="shared" ref="M11:M18" si="5">IF(AND(ISBLANK(G11)=FALSE,B11="B-Kriterium"),"ok",IF($B11="","",IF(AND(B11="A-Kriterium",G11="ja"),"ok",IF(AND(B11="A-Kriterium",G11="nein"),"nok","offen"))))</f>
        <v>offen</v>
      </c>
      <c r="N11" s="50"/>
      <c r="P11" s="135">
        <f t="shared" ref="P11:P26" si="6">IF(AND($F11="Bieter/in",$B11="A-Kriterium",$M11=P$9),1,0)</f>
        <v>1</v>
      </c>
      <c r="Q11" s="135">
        <f t="shared" ref="Q11:Q26" si="7">IF(AND($F11="Auftragsgeber/in",$B11="A-Kriterium",$M11=Q$9),1,0)</f>
        <v>0</v>
      </c>
      <c r="R11" s="135">
        <f t="shared" ref="R11:R26" si="8">IF(AND($F11="Bieter/in",$B11="B-Kriterium",$M11=R$9),1,0)</f>
        <v>0</v>
      </c>
      <c r="S11" s="135">
        <f t="shared" ref="S11:S26" si="9">IF(AND($F11="Auftragsgeber/in",$B11="B-Kriterium",$M11=S$9),1,0)</f>
        <v>0</v>
      </c>
      <c r="T11" s="135">
        <f t="shared" ref="T11" si="10">IF(M11="nok",1,0)</f>
        <v>0</v>
      </c>
    </row>
    <row r="12" spans="1:20" ht="26.4">
      <c r="A12" s="21" t="str">
        <f t="shared" si="0"/>
        <v>1</v>
      </c>
      <c r="B12" s="51" t="s">
        <v>75</v>
      </c>
      <c r="C12" s="51" t="s">
        <v>276</v>
      </c>
      <c r="D12" s="55" t="s">
        <v>277</v>
      </c>
      <c r="E12" s="290" t="s">
        <v>275</v>
      </c>
      <c r="F12" s="50" t="s">
        <v>95</v>
      </c>
      <c r="G12" s="95"/>
      <c r="H12" s="100"/>
      <c r="I12" s="80" t="str">
        <f t="shared" si="1"/>
        <v>---</v>
      </c>
      <c r="J12" s="80" t="str">
        <f t="shared" si="2"/>
        <v>---</v>
      </c>
      <c r="K12" s="50" t="str">
        <f t="shared" si="3"/>
        <v>---</v>
      </c>
      <c r="L12" s="81" t="str">
        <f t="shared" si="4"/>
        <v>---</v>
      </c>
      <c r="M12" s="42" t="str">
        <f t="shared" si="5"/>
        <v>offen</v>
      </c>
      <c r="N12" s="50"/>
      <c r="P12" s="135">
        <f t="shared" si="6"/>
        <v>1</v>
      </c>
      <c r="Q12" s="135">
        <f t="shared" si="7"/>
        <v>0</v>
      </c>
      <c r="R12" s="135">
        <f t="shared" si="8"/>
        <v>0</v>
      </c>
      <c r="S12" s="135">
        <f t="shared" si="9"/>
        <v>0</v>
      </c>
      <c r="T12" s="135">
        <f t="shared" ref="T12:T21" si="11">IF(M12="nok",1,0)</f>
        <v>0</v>
      </c>
    </row>
    <row r="13" spans="1:20" ht="13.2" customHeight="1">
      <c r="A13" s="21"/>
      <c r="B13" s="51" t="s">
        <v>75</v>
      </c>
      <c r="C13" s="51" t="s">
        <v>278</v>
      </c>
      <c r="D13" s="55" t="s">
        <v>279</v>
      </c>
      <c r="E13" s="50" t="s">
        <v>113</v>
      </c>
      <c r="F13" s="50" t="s">
        <v>95</v>
      </c>
      <c r="G13" s="95"/>
      <c r="H13" s="100"/>
      <c r="I13" s="80" t="str">
        <f t="shared" ref="I13" si="12">IF(B13="","",IF(B13="B-Kriterium",1,"---"))</f>
        <v>---</v>
      </c>
      <c r="J13" s="80" t="str">
        <f t="shared" ref="J13" si="13">IF(B13="","",IF(B13="A-Kriterium","---",O13))</f>
        <v>---</v>
      </c>
      <c r="K13" s="50" t="str">
        <f t="shared" ref="K13" si="14">IF($B13="A-Kriterium","---",IF(B13="","",IF(AND(B13="B-Kriterium",G13="ja"),J13,0)))</f>
        <v>---</v>
      </c>
      <c r="L13" s="81" t="str">
        <f t="shared" ref="L13" si="15">IF(B13="A-Kriterium","---",IF(B13="","",I13*K13))</f>
        <v>---</v>
      </c>
      <c r="M13" s="42" t="str">
        <f t="shared" ref="M13" si="16">IF(AND(ISBLANK(G13)=FALSE,B13="B-Kriterium"),"ok",IF($B13="","",IF(AND(B13="A-Kriterium",G13="ja"),"ok",IF(AND(B13="A-Kriterium",G13="nein"),"nok","offen"))))</f>
        <v>offen</v>
      </c>
      <c r="N13" s="50"/>
      <c r="P13" s="135">
        <f t="shared" si="6"/>
        <v>1</v>
      </c>
      <c r="Q13" s="135">
        <f t="shared" si="7"/>
        <v>0</v>
      </c>
      <c r="R13" s="135">
        <f t="shared" si="8"/>
        <v>0</v>
      </c>
      <c r="S13" s="135">
        <f t="shared" si="9"/>
        <v>0</v>
      </c>
      <c r="T13" s="135">
        <f t="shared" si="11"/>
        <v>0</v>
      </c>
    </row>
    <row r="14" spans="1:20" ht="26.4">
      <c r="A14" s="21" t="str">
        <f t="shared" si="0"/>
        <v>1</v>
      </c>
      <c r="B14" s="51" t="s">
        <v>75</v>
      </c>
      <c r="C14" s="51" t="s">
        <v>280</v>
      </c>
      <c r="D14" s="55" t="s">
        <v>281</v>
      </c>
      <c r="E14" s="50" t="s">
        <v>113</v>
      </c>
      <c r="F14" s="50" t="s">
        <v>95</v>
      </c>
      <c r="G14" s="95"/>
      <c r="H14" s="317"/>
      <c r="I14" s="80" t="str">
        <f t="shared" ref="I14:I17" si="17">IF(B14="","",IF(B14="B-Kriterium",1,"---"))</f>
        <v>---</v>
      </c>
      <c r="J14" s="80" t="str">
        <f t="shared" ref="J14" si="18">IF(B14="","",IF(B14="A-Kriterium","---",O14))</f>
        <v>---</v>
      </c>
      <c r="K14" s="50" t="str">
        <f t="shared" ref="K14:K17" si="19">IF($B14="A-Kriterium","---",IF(B14="","",IF(AND(B14="B-Kriterium",G14="ja"),J14,0)))</f>
        <v>---</v>
      </c>
      <c r="L14" s="81" t="str">
        <f t="shared" si="4"/>
        <v>---</v>
      </c>
      <c r="M14" s="42" t="str">
        <f t="shared" si="5"/>
        <v>offen</v>
      </c>
      <c r="N14" s="50"/>
      <c r="P14" s="135">
        <f t="shared" si="6"/>
        <v>1</v>
      </c>
      <c r="Q14" s="135">
        <f t="shared" si="7"/>
        <v>0</v>
      </c>
      <c r="R14" s="135">
        <f t="shared" si="8"/>
        <v>0</v>
      </c>
      <c r="S14" s="135">
        <f t="shared" si="9"/>
        <v>0</v>
      </c>
      <c r="T14" s="135">
        <f t="shared" si="11"/>
        <v>0</v>
      </c>
    </row>
    <row r="15" spans="1:20">
      <c r="A15" s="21" t="str">
        <f t="shared" si="0"/>
        <v>1</v>
      </c>
      <c r="B15" s="51" t="s">
        <v>94</v>
      </c>
      <c r="C15" s="51" t="s">
        <v>282</v>
      </c>
      <c r="D15" s="55" t="s">
        <v>283</v>
      </c>
      <c r="E15" s="50" t="s">
        <v>113</v>
      </c>
      <c r="F15" s="50" t="s">
        <v>95</v>
      </c>
      <c r="G15" s="95"/>
      <c r="H15" s="100"/>
      <c r="I15" s="80">
        <f t="shared" si="17"/>
        <v>1</v>
      </c>
      <c r="J15" s="80">
        <f>IF(B15="","",IF(B15="A-Kriterium","---",O15))</f>
        <v>1</v>
      </c>
      <c r="K15" s="50">
        <f t="shared" si="19"/>
        <v>0</v>
      </c>
      <c r="L15" s="81">
        <f t="shared" si="4"/>
        <v>0</v>
      </c>
      <c r="M15" s="42" t="str">
        <f t="shared" si="5"/>
        <v>offen</v>
      </c>
      <c r="N15" s="50"/>
      <c r="O15" s="44">
        <v>1</v>
      </c>
      <c r="P15" s="135">
        <f t="shared" si="6"/>
        <v>0</v>
      </c>
      <c r="Q15" s="135">
        <f t="shared" si="7"/>
        <v>0</v>
      </c>
      <c r="R15" s="135">
        <f t="shared" si="8"/>
        <v>1</v>
      </c>
      <c r="S15" s="135">
        <f t="shared" si="9"/>
        <v>0</v>
      </c>
      <c r="T15" s="135">
        <f t="shared" si="11"/>
        <v>0</v>
      </c>
    </row>
    <row r="16" spans="1:20">
      <c r="A16" s="21" t="str">
        <f t="shared" si="0"/>
        <v>1</v>
      </c>
      <c r="B16" s="51" t="s">
        <v>94</v>
      </c>
      <c r="C16" s="51" t="s">
        <v>284</v>
      </c>
      <c r="D16" s="55" t="s">
        <v>285</v>
      </c>
      <c r="E16" s="50" t="s">
        <v>113</v>
      </c>
      <c r="F16" s="50" t="s">
        <v>95</v>
      </c>
      <c r="G16" s="95"/>
      <c r="H16" s="100"/>
      <c r="I16" s="80">
        <f t="shared" si="17"/>
        <v>1</v>
      </c>
      <c r="J16" s="80">
        <f t="shared" ref="J16:J17" si="20">IF(B16="","",IF(B16="A-Kriterium","---",O16))</f>
        <v>1</v>
      </c>
      <c r="K16" s="50">
        <f t="shared" si="19"/>
        <v>0</v>
      </c>
      <c r="L16" s="81">
        <f t="shared" si="4"/>
        <v>0</v>
      </c>
      <c r="M16" s="42" t="str">
        <f t="shared" si="5"/>
        <v>offen</v>
      </c>
      <c r="N16" s="50"/>
      <c r="O16" s="44">
        <v>1</v>
      </c>
      <c r="P16" s="135">
        <f t="shared" si="6"/>
        <v>0</v>
      </c>
      <c r="Q16" s="135">
        <f t="shared" si="7"/>
        <v>0</v>
      </c>
      <c r="R16" s="135">
        <f t="shared" si="8"/>
        <v>1</v>
      </c>
      <c r="S16" s="135">
        <f t="shared" si="9"/>
        <v>0</v>
      </c>
      <c r="T16" s="135">
        <f t="shared" si="11"/>
        <v>0</v>
      </c>
    </row>
    <row r="17" spans="1:23">
      <c r="A17" s="21" t="str">
        <f t="shared" si="0"/>
        <v>1</v>
      </c>
      <c r="B17" s="51" t="s">
        <v>75</v>
      </c>
      <c r="C17" s="51" t="s">
        <v>286</v>
      </c>
      <c r="D17" s="55" t="s">
        <v>287</v>
      </c>
      <c r="E17" s="50" t="s">
        <v>113</v>
      </c>
      <c r="F17" s="50" t="s">
        <v>95</v>
      </c>
      <c r="G17" s="95"/>
      <c r="H17" s="100"/>
      <c r="I17" s="80" t="str">
        <f t="shared" si="17"/>
        <v>---</v>
      </c>
      <c r="J17" s="80" t="str">
        <f t="shared" si="20"/>
        <v>---</v>
      </c>
      <c r="K17" s="50" t="str">
        <f t="shared" si="19"/>
        <v>---</v>
      </c>
      <c r="L17" s="81" t="str">
        <f t="shared" si="4"/>
        <v>---</v>
      </c>
      <c r="M17" s="42" t="str">
        <f t="shared" si="5"/>
        <v>offen</v>
      </c>
      <c r="N17" s="50"/>
      <c r="P17" s="135">
        <f t="shared" si="6"/>
        <v>1</v>
      </c>
      <c r="Q17" s="135">
        <f t="shared" si="7"/>
        <v>0</v>
      </c>
      <c r="R17" s="135">
        <f t="shared" si="8"/>
        <v>0</v>
      </c>
      <c r="S17" s="135">
        <f t="shared" si="9"/>
        <v>0</v>
      </c>
      <c r="T17" s="135">
        <f t="shared" si="11"/>
        <v>0</v>
      </c>
    </row>
    <row r="18" spans="1:23" ht="26.4">
      <c r="A18" s="53" t="str">
        <f t="shared" ref="A18:A21" si="21">IF(C18="","","1")</f>
        <v>1</v>
      </c>
      <c r="B18" s="51" t="s">
        <v>75</v>
      </c>
      <c r="C18" s="51" t="s">
        <v>288</v>
      </c>
      <c r="D18" s="55" t="s">
        <v>289</v>
      </c>
      <c r="E18" s="50" t="s">
        <v>113</v>
      </c>
      <c r="F18" s="50" t="s">
        <v>95</v>
      </c>
      <c r="G18" s="95"/>
      <c r="H18" s="100"/>
      <c r="I18" s="80" t="str">
        <f t="shared" ref="I18" si="22">IF(B18="","",IF(B18="B-Kriterium",1,"---"))</f>
        <v>---</v>
      </c>
      <c r="J18" s="80" t="str">
        <f t="shared" ref="J18" si="23">IF(B18="","",IF(B18="A-Kriterium","---",O18))</f>
        <v>---</v>
      </c>
      <c r="K18" s="50" t="str">
        <f t="shared" ref="K18" si="24">IF($B18="A-Kriterium","---",IF(B18="","",IF(AND(B18="B-Kriterium",G18="ja"),J18,0)))</f>
        <v>---</v>
      </c>
      <c r="L18" s="81" t="str">
        <f t="shared" ref="L18" si="25">IF(B18="A-Kriterium","---",IF(B18="","",I18*K18))</f>
        <v>---</v>
      </c>
      <c r="M18" s="42" t="str">
        <f t="shared" si="5"/>
        <v>offen</v>
      </c>
      <c r="N18" s="50"/>
      <c r="P18" s="135">
        <f t="shared" si="6"/>
        <v>1</v>
      </c>
      <c r="Q18" s="135">
        <f t="shared" si="7"/>
        <v>0</v>
      </c>
      <c r="R18" s="135">
        <f t="shared" si="8"/>
        <v>0</v>
      </c>
      <c r="S18" s="135">
        <f t="shared" si="9"/>
        <v>0</v>
      </c>
      <c r="T18" s="135">
        <f t="shared" si="11"/>
        <v>0</v>
      </c>
    </row>
    <row r="19" spans="1:23">
      <c r="A19" s="53" t="str">
        <f t="shared" si="21"/>
        <v>1</v>
      </c>
      <c r="B19" s="51" t="s">
        <v>94</v>
      </c>
      <c r="C19" s="51" t="s">
        <v>290</v>
      </c>
      <c r="D19" s="55" t="s">
        <v>291</v>
      </c>
      <c r="E19" s="50" t="s">
        <v>113</v>
      </c>
      <c r="F19" s="50" t="s">
        <v>95</v>
      </c>
      <c r="G19" s="95"/>
      <c r="H19" s="100"/>
      <c r="I19" s="80">
        <f t="shared" ref="I19:I21" si="26">IF(B19="","",IF(B19="B-Kriterium",1,"---"))</f>
        <v>1</v>
      </c>
      <c r="J19" s="80">
        <f t="shared" ref="J19:J21" si="27">IF(B19="","",IF(B19="A-Kriterium","---",O19))</f>
        <v>1</v>
      </c>
      <c r="K19" s="50">
        <f t="shared" ref="K19:K21" si="28">IF($B19="A-Kriterium","---",IF(B19="","",IF(AND(B19="B-Kriterium",G19="ja"),J19,0)))</f>
        <v>0</v>
      </c>
      <c r="L19" s="81">
        <f t="shared" ref="L19:L21" si="29">IF(B19="A-Kriterium","---",IF(B19="","",I19*K19))</f>
        <v>0</v>
      </c>
      <c r="M19" s="42" t="str">
        <f t="shared" ref="M19:M21" si="30">IF(AND(ISBLANK(G19)=FALSE,B19="B-Kriterium"),"ok",IF($B19="","",IF(AND(B19="A-Kriterium",G19="ja"),"ok",IF(AND(B19="A-Kriterium",G19="nein"),"nok","offen"))))</f>
        <v>offen</v>
      </c>
      <c r="N19" s="50"/>
      <c r="O19" s="44">
        <v>1</v>
      </c>
      <c r="P19" s="135">
        <f t="shared" si="6"/>
        <v>0</v>
      </c>
      <c r="Q19" s="135">
        <f t="shared" si="7"/>
        <v>0</v>
      </c>
      <c r="R19" s="135">
        <f t="shared" si="8"/>
        <v>1</v>
      </c>
      <c r="S19" s="135">
        <f t="shared" si="9"/>
        <v>0</v>
      </c>
      <c r="T19" s="135">
        <f t="shared" si="11"/>
        <v>0</v>
      </c>
    </row>
    <row r="20" spans="1:23" ht="26.4">
      <c r="A20" s="53" t="str">
        <f t="shared" si="21"/>
        <v>1</v>
      </c>
      <c r="B20" s="51" t="s">
        <v>75</v>
      </c>
      <c r="C20" s="51" t="s">
        <v>292</v>
      </c>
      <c r="D20" s="55" t="s">
        <v>293</v>
      </c>
      <c r="E20" s="290" t="s">
        <v>294</v>
      </c>
      <c r="F20" s="50" t="s">
        <v>95</v>
      </c>
      <c r="G20" s="95"/>
      <c r="H20" s="100"/>
      <c r="I20" s="80" t="str">
        <f t="shared" ref="I20" si="31">IF(B20="","",IF(B20="B-Kriterium",1,"---"))</f>
        <v>---</v>
      </c>
      <c r="J20" s="80" t="str">
        <f t="shared" ref="J20" si="32">IF(B20="","",IF(B20="A-Kriterium","---",O20))</f>
        <v>---</v>
      </c>
      <c r="K20" s="50" t="str">
        <f t="shared" ref="K20" si="33">IF($B20="A-Kriterium","---",IF(B20="","",IF(AND(B20="B-Kriterium",G20="ja"),J20,0)))</f>
        <v>---</v>
      </c>
      <c r="L20" s="81" t="str">
        <f t="shared" ref="L20" si="34">IF(B20="A-Kriterium","---",IF(B20="","",I20*K20))</f>
        <v>---</v>
      </c>
      <c r="M20" s="42" t="str">
        <f t="shared" ref="M20" si="35">IF(AND(ISBLANK(G20)=FALSE,B20="B-Kriterium"),"ok",IF($B20="","",IF(AND(B20="A-Kriterium",G20="ja"),"ok",IF(AND(B20="A-Kriterium",G20="nein"),"nok","offen"))))</f>
        <v>offen</v>
      </c>
      <c r="N20" s="50"/>
      <c r="P20" s="135">
        <f t="shared" si="6"/>
        <v>1</v>
      </c>
      <c r="Q20" s="135">
        <f t="shared" si="7"/>
        <v>0</v>
      </c>
      <c r="R20" s="135">
        <f t="shared" si="8"/>
        <v>0</v>
      </c>
      <c r="S20" s="135">
        <f t="shared" si="9"/>
        <v>0</v>
      </c>
      <c r="T20" s="135">
        <f t="shared" si="11"/>
        <v>0</v>
      </c>
    </row>
    <row r="21" spans="1:23">
      <c r="A21" s="53" t="str">
        <f t="shared" si="21"/>
        <v>1</v>
      </c>
      <c r="B21" s="51" t="s">
        <v>75</v>
      </c>
      <c r="C21" s="51" t="s">
        <v>295</v>
      </c>
      <c r="D21" s="55" t="s">
        <v>296</v>
      </c>
      <c r="E21" s="50" t="s">
        <v>113</v>
      </c>
      <c r="F21" s="50" t="s">
        <v>95</v>
      </c>
      <c r="G21" s="95"/>
      <c r="H21" s="100"/>
      <c r="I21" s="80" t="str">
        <f t="shared" si="26"/>
        <v>---</v>
      </c>
      <c r="J21" s="80" t="str">
        <f t="shared" si="27"/>
        <v>---</v>
      </c>
      <c r="K21" s="50" t="str">
        <f t="shared" si="28"/>
        <v>---</v>
      </c>
      <c r="L21" s="81" t="str">
        <f t="shared" si="29"/>
        <v>---</v>
      </c>
      <c r="M21" s="42" t="str">
        <f t="shared" si="30"/>
        <v>offen</v>
      </c>
      <c r="N21" s="50"/>
      <c r="P21" s="135">
        <f t="shared" si="6"/>
        <v>1</v>
      </c>
      <c r="Q21" s="135">
        <f t="shared" si="7"/>
        <v>0</v>
      </c>
      <c r="R21" s="135">
        <f t="shared" si="8"/>
        <v>0</v>
      </c>
      <c r="S21" s="135">
        <f t="shared" si="9"/>
        <v>0</v>
      </c>
      <c r="T21" s="135">
        <f t="shared" si="11"/>
        <v>0</v>
      </c>
    </row>
    <row r="22" spans="1:23" ht="92.4">
      <c r="A22" s="53" t="str">
        <f>IF(D22="","","1")</f>
        <v>1</v>
      </c>
      <c r="B22" s="51" t="s">
        <v>94</v>
      </c>
      <c r="C22" s="51" t="s">
        <v>297</v>
      </c>
      <c r="D22" s="55" t="s">
        <v>298</v>
      </c>
      <c r="E22" s="290" t="s">
        <v>299</v>
      </c>
      <c r="F22" s="50" t="s">
        <v>95</v>
      </c>
      <c r="G22" s="95"/>
      <c r="H22" s="317"/>
      <c r="I22" s="80">
        <f t="shared" ref="I22:I24" si="36">IF(B22="","",IF(B22="B-Kriterium",1,"---"))</f>
        <v>1</v>
      </c>
      <c r="J22" s="80">
        <f t="shared" ref="J22:J24" si="37">IF(B22="","",IF(B22="A-Kriterium","---",O22))</f>
        <v>5</v>
      </c>
      <c r="K22" s="50">
        <f t="shared" ref="K22:K24" si="38">IF($B22="A-Kriterium","---",IF(B22="","",IF(AND(B22="B-Kriterium",G22="ja"),J22,0)))</f>
        <v>0</v>
      </c>
      <c r="L22" s="81">
        <f t="shared" ref="L22:L24" si="39">IF(B22="A-Kriterium","---",IF(B22="","",I22*K22))</f>
        <v>0</v>
      </c>
      <c r="M22" s="42" t="str">
        <f t="shared" ref="M22:M24" si="40">IF(AND(ISBLANK(G22)=FALSE,B22="B-Kriterium"),"ok",IF($B22="","",IF(AND(B22="A-Kriterium",G22="ja"),"ok",IF(AND(B22="A-Kriterium",G22="nein"),"nok","offen"))))</f>
        <v>offen</v>
      </c>
      <c r="N22" s="50"/>
      <c r="O22" s="44">
        <v>5</v>
      </c>
      <c r="P22" s="135">
        <f t="shared" si="6"/>
        <v>0</v>
      </c>
      <c r="Q22" s="135">
        <f t="shared" si="7"/>
        <v>0</v>
      </c>
      <c r="R22" s="135">
        <f t="shared" si="8"/>
        <v>1</v>
      </c>
      <c r="S22" s="135">
        <f t="shared" si="9"/>
        <v>0</v>
      </c>
      <c r="T22" s="135">
        <f t="shared" ref="T22:T24" si="41">IF(M22="nok",1,0)</f>
        <v>0</v>
      </c>
      <c r="W22" s="10"/>
    </row>
    <row r="23" spans="1:23" customFormat="1" ht="41.7" customHeight="1">
      <c r="A23" s="53" t="str">
        <f t="shared" ref="A23:A26" si="42">IF(C23="","","1")</f>
        <v>1</v>
      </c>
      <c r="B23" s="51" t="s">
        <v>94</v>
      </c>
      <c r="C23" s="51" t="s">
        <v>300</v>
      </c>
      <c r="D23" s="55" t="s">
        <v>301</v>
      </c>
      <c r="E23" s="290" t="s">
        <v>113</v>
      </c>
      <c r="F23" s="50" t="s">
        <v>95</v>
      </c>
      <c r="G23" s="95"/>
      <c r="H23" s="100"/>
      <c r="I23" s="80">
        <f t="shared" si="36"/>
        <v>1</v>
      </c>
      <c r="J23" s="80">
        <f t="shared" si="37"/>
        <v>5</v>
      </c>
      <c r="K23" s="50">
        <f t="shared" si="38"/>
        <v>0</v>
      </c>
      <c r="L23" s="81">
        <f t="shared" si="39"/>
        <v>0</v>
      </c>
      <c r="M23" s="42" t="str">
        <f t="shared" si="40"/>
        <v>offen</v>
      </c>
      <c r="N23" s="50"/>
      <c r="O23" s="44">
        <v>5</v>
      </c>
      <c r="P23" s="135">
        <f t="shared" si="6"/>
        <v>0</v>
      </c>
      <c r="Q23" s="135">
        <f t="shared" si="7"/>
        <v>0</v>
      </c>
      <c r="R23" s="135">
        <f t="shared" si="8"/>
        <v>1</v>
      </c>
      <c r="S23" s="135">
        <f t="shared" si="9"/>
        <v>0</v>
      </c>
      <c r="T23" s="135">
        <f t="shared" si="41"/>
        <v>0</v>
      </c>
    </row>
    <row r="24" spans="1:23" customFormat="1" ht="28.95" customHeight="1">
      <c r="A24" s="53" t="str">
        <f t="shared" si="42"/>
        <v>1</v>
      </c>
      <c r="B24" s="51" t="s">
        <v>94</v>
      </c>
      <c r="C24" s="51" t="s">
        <v>302</v>
      </c>
      <c r="D24" s="55" t="s">
        <v>303</v>
      </c>
      <c r="E24" s="290" t="s">
        <v>113</v>
      </c>
      <c r="F24" s="50" t="s">
        <v>95</v>
      </c>
      <c r="G24" s="95"/>
      <c r="H24" s="100"/>
      <c r="I24" s="80">
        <f t="shared" si="36"/>
        <v>1</v>
      </c>
      <c r="J24" s="80">
        <f t="shared" si="37"/>
        <v>5</v>
      </c>
      <c r="K24" s="50">
        <f t="shared" si="38"/>
        <v>0</v>
      </c>
      <c r="L24" s="81">
        <f t="shared" si="39"/>
        <v>0</v>
      </c>
      <c r="M24" s="42" t="str">
        <f t="shared" si="40"/>
        <v>offen</v>
      </c>
      <c r="N24" s="50"/>
      <c r="O24" s="44">
        <v>5</v>
      </c>
      <c r="P24" s="135">
        <f t="shared" si="6"/>
        <v>0</v>
      </c>
      <c r="Q24" s="135">
        <f t="shared" si="7"/>
        <v>0</v>
      </c>
      <c r="R24" s="135">
        <f t="shared" si="8"/>
        <v>1</v>
      </c>
      <c r="S24" s="135">
        <f t="shared" si="9"/>
        <v>0</v>
      </c>
      <c r="T24" s="135">
        <f t="shared" si="41"/>
        <v>0</v>
      </c>
    </row>
    <row r="25" spans="1:23" ht="26.4">
      <c r="A25" s="53" t="str">
        <f t="shared" si="42"/>
        <v>1</v>
      </c>
      <c r="B25" s="51" t="s">
        <v>75</v>
      </c>
      <c r="C25" s="51" t="s">
        <v>304</v>
      </c>
      <c r="D25" s="55" t="s">
        <v>1090</v>
      </c>
      <c r="E25" s="290" t="s">
        <v>113</v>
      </c>
      <c r="F25" s="50" t="s">
        <v>95</v>
      </c>
      <c r="G25" s="95"/>
      <c r="H25" s="100"/>
      <c r="I25" s="80" t="str">
        <f t="shared" ref="I25" si="43">IF(B25="","",IF(B25="B-Kriterium",1,"---"))</f>
        <v>---</v>
      </c>
      <c r="J25" s="80" t="str">
        <f t="shared" ref="J25" si="44">IF(B25="","",IF(B25="A-Kriterium","---",O25))</f>
        <v>---</v>
      </c>
      <c r="K25" s="50" t="str">
        <f t="shared" ref="K25" si="45">IF($B25="A-Kriterium","---",IF(B25="","",IF(AND(B25="B-Kriterium",G25="ja"),J25,0)))</f>
        <v>---</v>
      </c>
      <c r="L25" s="81" t="str">
        <f t="shared" ref="L25" si="46">IF(B25="A-Kriterium","---",IF(B25="","",I25*K25))</f>
        <v>---</v>
      </c>
      <c r="M25" s="42" t="str">
        <f t="shared" ref="M25" si="47">IF(AND(ISBLANK(G25)=FALSE,B25="B-Kriterium"),"ok",IF($B25="","",IF(AND(B25="A-Kriterium",G25="ja"),"ok",IF(AND(B25="A-Kriterium",G25="nein"),"nok","offen"))))</f>
        <v>offen</v>
      </c>
      <c r="N25" s="50"/>
      <c r="P25" s="135">
        <f t="shared" si="6"/>
        <v>1</v>
      </c>
      <c r="Q25" s="135">
        <f t="shared" si="7"/>
        <v>0</v>
      </c>
      <c r="R25" s="135">
        <f t="shared" si="8"/>
        <v>0</v>
      </c>
      <c r="S25" s="135">
        <f t="shared" si="9"/>
        <v>0</v>
      </c>
      <c r="T25" s="135">
        <f t="shared" ref="T25" si="48">IF(M25="nok",1,0)</f>
        <v>0</v>
      </c>
    </row>
    <row r="26" spans="1:23" ht="26.4">
      <c r="A26" s="53" t="str">
        <f t="shared" si="42"/>
        <v>1</v>
      </c>
      <c r="B26" s="51" t="s">
        <v>75</v>
      </c>
      <c r="C26" s="51" t="s">
        <v>305</v>
      </c>
      <c r="D26" s="55" t="s">
        <v>306</v>
      </c>
      <c r="E26" s="290" t="s">
        <v>307</v>
      </c>
      <c r="F26" s="50" t="s">
        <v>95</v>
      </c>
      <c r="G26" s="95"/>
      <c r="H26" s="100"/>
      <c r="I26" s="80" t="str">
        <f t="shared" ref="I26" si="49">IF(B26="","",IF(B26="B-Kriterium",1,"---"))</f>
        <v>---</v>
      </c>
      <c r="J26" s="80" t="str">
        <f t="shared" ref="J26" si="50">IF(B26="","",IF(B26="A-Kriterium","---",O26))</f>
        <v>---</v>
      </c>
      <c r="K26" s="50" t="str">
        <f t="shared" ref="K26" si="51">IF($B26="A-Kriterium","---",IF(B26="","",IF(AND(B26="B-Kriterium",G26="ja"),J26,0)))</f>
        <v>---</v>
      </c>
      <c r="L26" s="81" t="str">
        <f t="shared" ref="L26" si="52">IF(B26="A-Kriterium","---",IF(B26="","",I26*K26))</f>
        <v>---</v>
      </c>
      <c r="M26" s="42" t="str">
        <f t="shared" ref="M26" si="53">IF(AND(ISBLANK(G26)=FALSE,B26="B-Kriterium"),"ok",IF($B26="","",IF(AND(B26="A-Kriterium",G26="ja"),"ok",IF(AND(B26="A-Kriterium",G26="nein"),"nok","offen"))))</f>
        <v>offen</v>
      </c>
      <c r="N26" s="50"/>
      <c r="P26" s="135">
        <f t="shared" si="6"/>
        <v>1</v>
      </c>
      <c r="Q26" s="135">
        <f t="shared" si="7"/>
        <v>0</v>
      </c>
      <c r="R26" s="135">
        <f t="shared" si="8"/>
        <v>0</v>
      </c>
      <c r="S26" s="135">
        <f t="shared" si="9"/>
        <v>0</v>
      </c>
      <c r="T26" s="135">
        <f t="shared" ref="T26" si="54">IF(M26="nok",1,0)</f>
        <v>0</v>
      </c>
    </row>
    <row r="27" spans="1:23" customFormat="1" ht="26.4">
      <c r="A27" s="53" t="str">
        <f>IF(D27="","","1")</f>
        <v>1</v>
      </c>
      <c r="B27" s="51" t="s">
        <v>94</v>
      </c>
      <c r="C27" s="51" t="s">
        <v>308</v>
      </c>
      <c r="D27" s="148" t="s">
        <v>309</v>
      </c>
      <c r="E27" s="290" t="s">
        <v>113</v>
      </c>
      <c r="F27" s="50" t="s">
        <v>95</v>
      </c>
      <c r="G27" s="95"/>
      <c r="H27" s="100"/>
      <c r="I27" s="80">
        <f>IF(B27="","",IF(B27="B-Kriterium",1,"---"))</f>
        <v>1</v>
      </c>
      <c r="J27" s="80">
        <f>IF(B27="","",IF(B27="A-Kriterium","---",O27))</f>
        <v>5</v>
      </c>
      <c r="K27" s="50">
        <f>IF($B27="A-Kriterium","---",IF(B27="","",IF(AND(B27="B-Kriterium",G27="ja"),J27,0)))</f>
        <v>0</v>
      </c>
      <c r="L27" s="81">
        <f>IF(B27="A-Kriterium","---",IF(B27="","",I27*K27))</f>
        <v>0</v>
      </c>
      <c r="M27" s="42" t="str">
        <f>IF(AND(ISBLANK(G27)=FALSE,B27="B-Kriterium"),"ok",IF($B27="","",IF(AND(B27="A-Kriterium",G27="ja"),"ok",IF(AND(B27="A-Kriterium",G27="nein"),"nok","offen"))))</f>
        <v>offen</v>
      </c>
      <c r="N27" s="50"/>
      <c r="O27" s="44">
        <v>5</v>
      </c>
      <c r="P27" s="135">
        <f>IF(AND($F27="Bieter/in",$B27="A-Kriterium",$M27='04-Funktionale Anforderungen'!P$9),1,0)</f>
        <v>0</v>
      </c>
      <c r="Q27" s="135">
        <f>IF(AND($F27="Auftragsgeber/in",$B27="A-Kriterium",$M27='04-Funktionale Anforderungen'!Q$9),1,0)</f>
        <v>0</v>
      </c>
      <c r="R27" s="135">
        <f>IF(AND($F27="Bieter/in",$B27="B-Kriterium",$M27='04-Funktionale Anforderungen'!R$9),1,0)</f>
        <v>1</v>
      </c>
      <c r="S27" s="135">
        <f>IF(AND($F27="Auftragsgeber/in",$B27="B-Kriterium",$M27='04-Funktionale Anforderungen'!S$9),1,0)</f>
        <v>0</v>
      </c>
      <c r="T27" s="135">
        <f>IF(M27="nok",1,0)</f>
        <v>0</v>
      </c>
    </row>
  </sheetData>
  <sheetProtection algorithmName="SHA-512" hashValue="EEzUSIcJdxeoJ/PBqx1jnSBXtJPPpCgeB6b86FVSjsEqujIc1YrEtTytTluJmHFyIjLY56CH59HE06rNpNolqw==" saltValue="+gbCCIK3q9L/hR224lh2dg==" spinCount="100000" sheet="1" selectLockedCells="1" sort="0" autoFilter="0"/>
  <protectedRanges>
    <protectedRange sqref="L9:T9 A9:I9 E13:E21 E10 A10:A21 P22:T26 F10:T21" name="AllowSortFilter"/>
    <protectedRange sqref="J9:K9" name="AllowSortFilter_1"/>
    <protectedRange sqref="B10:C11 D10 D19 D13:D17 D21 B12:B21 C12:C27" name="AllowSortFilter_2"/>
    <protectedRange sqref="A22:B22 D22:O22" name="AllowSortFilter_3"/>
    <protectedRange sqref="D18 D20 D11:E12 D23:O24 E25:N25 A23:B26 F26:N26 O25:O26" name="AllowSortFilter_4"/>
    <protectedRange sqref="D25" name="AllowSortFilter_8"/>
    <protectedRange sqref="B27 D27:O27" name="AllowSortFilter_5"/>
    <protectedRange sqref="A27 P27:T27" name="AllowSortFilter_3_1"/>
  </protectedRanges>
  <autoFilter ref="A9:M26" xr:uid="{00000000-0009-0000-0000-00000B000000}"/>
  <mergeCells count="3">
    <mergeCell ref="B3:E3"/>
    <mergeCell ref="F3:I3"/>
    <mergeCell ref="J3:M3"/>
  </mergeCells>
  <phoneticPr fontId="5" type="noConversion"/>
  <conditionalFormatting sqref="A10:A27">
    <cfRule type="expression" dxfId="76" priority="8">
      <formula>$A10="1"</formula>
    </cfRule>
  </conditionalFormatting>
  <conditionalFormatting sqref="B22:O27 B10:O11 D12:O17 B12:C21 E18:O18 D19:O21">
    <cfRule type="expression" dxfId="75" priority="20">
      <formula>IF($C10="",0,1)+IF($B10="",0,1)=1</formula>
    </cfRule>
  </conditionalFormatting>
  <conditionalFormatting sqref="D18 D20">
    <cfRule type="expression" dxfId="74" priority="243">
      <formula>IF(#REF!="",0,1)+IF(#REF!="",0,1)=1</formula>
    </cfRule>
  </conditionalFormatting>
  <conditionalFormatting sqref="D25:D26">
    <cfRule type="expression" dxfId="73" priority="12">
      <formula>IF(#REF!="",0,1)+IF(#REF!="",0,1)=1</formula>
    </cfRule>
  </conditionalFormatting>
  <conditionalFormatting sqref="D11:E12">
    <cfRule type="expression" dxfId="72" priority="245">
      <formula>IF(#REF!="",0,1)+IF(#REF!="",0,1)=1</formula>
    </cfRule>
  </conditionalFormatting>
  <conditionalFormatting sqref="G10:H27">
    <cfRule type="expression" dxfId="71" priority="4">
      <formula>$B10="B-Kriterium"</formula>
    </cfRule>
    <cfRule type="expression" dxfId="70" priority="5">
      <formula>$B10="A-Kriterium"</formula>
    </cfRule>
  </conditionalFormatting>
  <conditionalFormatting sqref="M10:O26">
    <cfRule type="cellIs" dxfId="69" priority="26" operator="equal">
      <formula>"offen"</formula>
    </cfRule>
    <cfRule type="cellIs" dxfId="68" priority="27" operator="equal">
      <formula>"ok"</formula>
    </cfRule>
    <cfRule type="cellIs" dxfId="67" priority="28" operator="equal">
      <formula>"nok"</formula>
    </cfRule>
  </conditionalFormatting>
  <conditionalFormatting sqref="M27:O27">
    <cfRule type="cellIs" dxfId="66" priority="1" operator="equal">
      <formula>"offen"</formula>
    </cfRule>
    <cfRule type="cellIs" dxfId="65" priority="2" operator="equal">
      <formula>"ok"</formula>
    </cfRule>
    <cfRule type="cellIs" dxfId="64" priority="3" operator="equal">
      <formula>"nok"</formula>
    </cfRule>
  </conditionalFormatting>
  <conditionalFormatting sqref="O10:O27">
    <cfRule type="expression" dxfId="63" priority="6">
      <formula>$B10="B-Kriterium"</formula>
    </cfRule>
  </conditionalFormatting>
  <dataValidations count="3">
    <dataValidation type="list" allowBlank="1" showInputMessage="1" showErrorMessage="1" sqref="G10" xr:uid="{E650F487-64B2-4C2B-8F78-19B5AF71F1B6}">
      <formula1>IF(O10="","",INDIRECT("tab_wertebereich_inhalt["&amp;O10&amp;"]"))</formula1>
    </dataValidation>
    <dataValidation type="list" allowBlank="1" showInputMessage="1" showErrorMessage="1" sqref="G11:G27" xr:uid="{3EDD0575-0E45-4E5F-A629-3324E63509E2}">
      <formula1>"ja,nein"</formula1>
    </dataValidation>
    <dataValidation type="list" allowBlank="1" showInputMessage="1" showErrorMessage="1" sqref="B11:B21" xr:uid="{8C72C37B-813F-4D87-A4AE-E85CDEF1088B}">
      <formula1>" ,A-Kriterium,B-Kriterium"</formula1>
    </dataValidation>
  </dataValidations>
  <pageMargins left="0.7" right="0.7" top="0.78740157499999996" bottom="0.78740157499999996" header="0.3" footer="0.3"/>
  <pageSetup paperSize="9"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1A063FE-CDEE-4A0C-A96E-943E1B72F554}">
          <x14:formula1>
            <xm:f>Tabelle1!$A$2:$A$3</xm:f>
          </x14:formula1>
          <xm:sqref>B22:B1048576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16FC-0BA7-43FF-816A-95620080DE43}">
  <sheetPr>
    <tabColor rgb="FF1D466E"/>
  </sheetPr>
  <dimension ref="A1:W101"/>
  <sheetViews>
    <sheetView showGridLines="0" zoomScale="90" zoomScaleNormal="90" workbookViewId="0">
      <pane ySplit="9" topLeftCell="A10" activePane="bottomLeft" state="frozen"/>
      <selection pane="bottomLeft" activeCell="G11" sqref="G11"/>
    </sheetView>
  </sheetViews>
  <sheetFormatPr baseColWidth="10" defaultColWidth="10.44140625" defaultRowHeight="14.4" outlineLevelCol="1"/>
  <cols>
    <col min="1" max="1" width="10.44140625" style="53"/>
    <col min="2" max="2" width="10.44140625" style="44"/>
    <col min="3" max="3" width="12.33203125" style="44" customWidth="1"/>
    <col min="4" max="4" width="91.44140625" style="10" customWidth="1"/>
    <col min="5" max="5" width="18" style="42" bestFit="1" customWidth="1"/>
    <col min="6" max="6" width="18.44140625" style="42" customWidth="1"/>
    <col min="7" max="7" width="43.44140625" style="142" customWidth="1"/>
    <col min="8" max="8" width="24" style="66" customWidth="1"/>
    <col min="9" max="10" width="11.44140625" style="136" customWidth="1"/>
    <col min="11" max="11" width="10.44140625" style="44" customWidth="1"/>
    <col min="12" max="12" width="10.44140625" style="136" customWidth="1"/>
    <col min="13" max="13" width="10.44140625" style="44" customWidth="1"/>
    <col min="14" max="14" width="4.44140625" style="44" customWidth="1"/>
    <col min="15" max="15" width="7.6640625" style="44" hidden="1" customWidth="1" outlineLevel="1"/>
    <col min="16" max="19" width="10.44140625" style="52" hidden="1" customWidth="1" outlineLevel="1"/>
    <col min="20" max="20" width="4" style="52" hidden="1" customWidth="1" outlineLevel="1"/>
    <col min="21" max="21" width="10.44140625" customWidth="1" collapsed="1"/>
    <col min="22" max="22" width="10.44140625" style="44" customWidth="1"/>
    <col min="23" max="23" width="25.109375" style="10" customWidth="1"/>
    <col min="24" max="16384" width="10.44140625" style="44"/>
  </cols>
  <sheetData>
    <row r="1" spans="1:23" s="15" customFormat="1" ht="103.95" customHeight="1">
      <c r="A1" s="21"/>
      <c r="B1" s="13"/>
      <c r="C1" s="13"/>
      <c r="D1" s="43"/>
      <c r="E1" s="207"/>
      <c r="F1" s="13"/>
      <c r="G1" s="45"/>
      <c r="H1" s="13"/>
      <c r="I1" s="13"/>
      <c r="J1" s="13"/>
      <c r="K1" s="13"/>
      <c r="L1" s="13"/>
      <c r="M1" s="13"/>
      <c r="N1" s="13"/>
      <c r="O1" s="14"/>
      <c r="P1" s="14"/>
      <c r="Q1" s="14"/>
      <c r="R1" s="14"/>
      <c r="S1" s="14"/>
      <c r="T1" s="14"/>
      <c r="W1" s="8"/>
    </row>
    <row r="2" spans="1:23" s="15" customFormat="1" ht="18">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211"/>
      <c r="F2" s="16"/>
      <c r="G2" s="16"/>
      <c r="H2" s="16"/>
      <c r="I2" s="24"/>
      <c r="J2" s="24"/>
      <c r="K2" s="12"/>
      <c r="L2" s="24"/>
      <c r="M2" s="12"/>
      <c r="N2" s="12"/>
      <c r="O2" s="14"/>
      <c r="P2" s="14"/>
      <c r="Q2" s="14"/>
      <c r="R2" s="14"/>
      <c r="S2" s="14"/>
      <c r="T2" s="14"/>
      <c r="W2" s="8"/>
    </row>
    <row r="3" spans="1:23" s="89" customFormat="1" ht="38.25" customHeight="1">
      <c r="A3" s="87"/>
      <c r="B3" s="369" t="s">
        <v>175</v>
      </c>
      <c r="C3" s="369"/>
      <c r="D3" s="369"/>
      <c r="E3" s="370"/>
      <c r="F3" s="369"/>
      <c r="G3" s="369"/>
      <c r="H3" s="369"/>
      <c r="I3" s="369"/>
      <c r="J3" s="369"/>
      <c r="K3" s="369"/>
      <c r="L3" s="369"/>
      <c r="M3" s="369"/>
      <c r="N3" s="71"/>
      <c r="O3" s="88"/>
      <c r="P3" s="88"/>
      <c r="Q3" s="88"/>
      <c r="R3" s="88"/>
      <c r="S3" s="88"/>
      <c r="T3" s="88"/>
      <c r="W3" s="337"/>
    </row>
    <row r="4" spans="1:23" s="19" customFormat="1" ht="13.2">
      <c r="A4" s="25"/>
      <c r="B4" s="17"/>
      <c r="C4" s="17"/>
      <c r="D4" s="97"/>
      <c r="E4" s="18"/>
      <c r="F4" s="18"/>
      <c r="G4" s="139"/>
      <c r="H4" s="18"/>
      <c r="I4" s="26"/>
      <c r="J4" s="26"/>
      <c r="K4" s="17"/>
      <c r="L4" s="26"/>
      <c r="M4" s="17"/>
      <c r="N4" s="17"/>
      <c r="O4" s="27"/>
      <c r="P4" s="27"/>
      <c r="Q4" s="27"/>
      <c r="R4" s="27"/>
      <c r="S4" s="27"/>
      <c r="T4" s="27"/>
      <c r="W4" s="338"/>
    </row>
    <row r="5" spans="1:23" s="15" customFormat="1" ht="14.7" customHeight="1">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77 Fragen noch nicht beantwortet. Bitte machen Sie Ihre Angaben in allen noch offenen von 'Bieter/in' auszufüllenden Feldern 'Auskunft' und optional 'Kommentar'.</v>
      </c>
      <c r="D5" s="98"/>
      <c r="E5" s="350"/>
      <c r="F5" s="30"/>
      <c r="G5" s="140"/>
      <c r="H5" s="79"/>
      <c r="I5" s="31"/>
      <c r="J5" s="31"/>
      <c r="K5" s="32"/>
      <c r="L5" s="33"/>
      <c r="M5" s="32"/>
      <c r="N5" s="32"/>
      <c r="O5" s="34" t="s">
        <v>230</v>
      </c>
      <c r="P5" s="34"/>
      <c r="Q5" s="34"/>
      <c r="R5" s="34"/>
      <c r="S5" s="34"/>
      <c r="T5" s="34"/>
      <c r="W5" s="8"/>
    </row>
    <row r="6" spans="1:23" s="15" customFormat="1" ht="14.7" customHeight="1">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350"/>
      <c r="F6" s="30"/>
      <c r="G6" s="140"/>
      <c r="H6" s="79"/>
      <c r="I6" s="31"/>
      <c r="J6" s="31"/>
      <c r="K6" s="32"/>
      <c r="L6" s="33"/>
      <c r="M6" s="32"/>
      <c r="N6" s="32"/>
      <c r="O6" s="14"/>
      <c r="P6" s="14"/>
      <c r="Q6" s="14"/>
      <c r="R6" s="14"/>
      <c r="S6" s="14"/>
      <c r="T6" s="14"/>
      <c r="W6" s="8"/>
    </row>
    <row r="7" spans="1:23" s="15" customFormat="1" ht="13.2">
      <c r="A7" s="25"/>
      <c r="B7" s="32"/>
      <c r="C7" s="29" t="str">
        <f>IF(COUNTIF(B10:B201,"B-Kriterium")&gt;0,CONCATENATE("Es wurden ",COUNTIF(B10:B201,"B-Kriterium")-SUM(R8:S8)," von ",COUNTIF(B10:B201,"B-Kriterium")," B-Kriterien beantwortet und ",ROUND(SUM(L:L),2)," von möglichen ",SUM(J:J)," Punkten erreicht."),"")</f>
        <v>Es wurden 0 von 47 B-Kriterien beantwortet und 0 von möglichen 59 Punkten erreicht.</v>
      </c>
      <c r="D7" s="98"/>
      <c r="E7" s="350"/>
      <c r="F7" s="30"/>
      <c r="G7" s="140"/>
      <c r="H7" s="79"/>
      <c r="I7" s="31"/>
      <c r="J7" s="31"/>
      <c r="K7" s="32"/>
      <c r="L7" s="33"/>
      <c r="M7" s="32"/>
      <c r="N7" s="32"/>
      <c r="O7" s="14"/>
      <c r="P7" s="14"/>
      <c r="Q7" s="14"/>
      <c r="R7" s="14"/>
      <c r="S7" s="14"/>
      <c r="T7" s="14"/>
      <c r="W7" s="8"/>
    </row>
    <row r="8" spans="1:23" s="15" customFormat="1" ht="13.2">
      <c r="A8" s="25"/>
      <c r="B8" s="32"/>
      <c r="C8" s="32"/>
      <c r="D8" s="75"/>
      <c r="E8" s="79"/>
      <c r="F8" s="79"/>
      <c r="G8" s="141"/>
      <c r="H8" s="79"/>
      <c r="I8" s="33"/>
      <c r="J8" s="33"/>
      <c r="K8" s="32"/>
      <c r="L8" s="33"/>
      <c r="M8" s="32"/>
      <c r="N8" s="32"/>
      <c r="O8" s="35"/>
      <c r="P8" s="14">
        <f>SUM(P9:P201)</f>
        <v>30</v>
      </c>
      <c r="Q8" s="14">
        <f>SUM(Q9:Q201)</f>
        <v>0</v>
      </c>
      <c r="R8" s="14">
        <f>SUM(R9:R201)</f>
        <v>47</v>
      </c>
      <c r="S8" s="14">
        <f>SUM(S9:S201)</f>
        <v>0</v>
      </c>
      <c r="T8" s="14">
        <f>SUM(T9:T201)</f>
        <v>0</v>
      </c>
      <c r="W8" s="8"/>
    </row>
    <row r="9" spans="1:23" s="15" customFormat="1" ht="52.8">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c r="W9" s="8"/>
    </row>
    <row r="10" spans="1:23">
      <c r="A10" s="53" t="str">
        <f t="shared" ref="A10:A38" si="0">IF(D10="","","1")</f>
        <v>1</v>
      </c>
      <c r="B10" s="51" t="s">
        <v>153</v>
      </c>
      <c r="C10" s="150" t="s">
        <v>310</v>
      </c>
      <c r="D10" s="55" t="s">
        <v>311</v>
      </c>
      <c r="E10" s="50"/>
      <c r="F10" s="50"/>
      <c r="G10" s="95"/>
      <c r="H10" s="317"/>
      <c r="I10" s="80" t="str">
        <f>IF(B10="","",IF(B10="B-Kriterium",1,"---"))</f>
        <v/>
      </c>
      <c r="J10" s="80" t="str">
        <f>IF(B10="","",IF(B10="A-Kriterium","---",O10))</f>
        <v/>
      </c>
      <c r="K10" s="50" t="str">
        <f>IF($B10="A-Kriterium","---",IF(B10="","",IF(AND(B10="B-Kriterium",G10="ja"),J10,0)))</f>
        <v/>
      </c>
      <c r="L10" s="81" t="str">
        <f>IF(B10="A-Kriterium","---",IF(B10="","",I10*K10))</f>
        <v/>
      </c>
      <c r="M10" s="42" t="str">
        <f>IF(AND(ISBLANK(G10)=FALSE,B10="B-Kriterium"),"ok",IF($B10="","",IF(AND(B10="A-Kriterium",G10="ja"),"ok",IF(AND(B10="A-Kriterium",G10="nein"),"nok","offen"))))</f>
        <v/>
      </c>
      <c r="N10" s="50"/>
      <c r="P10" s="135">
        <f>IF(AND($F10="Bieter/in",$B10="A-Kriterium",$M10=P$9),1,0)</f>
        <v>0</v>
      </c>
      <c r="Q10" s="135">
        <f>IF(AND($F10="Auftragsgeber/in",$B10="A-Kriterium",$M10=Q$9),1,0)</f>
        <v>0</v>
      </c>
      <c r="R10" s="135">
        <f>IF(AND($F10="Bieter/in",$B10="B-Kriterium",$M10=R$9),1,0)</f>
        <v>0</v>
      </c>
      <c r="S10" s="135">
        <f>IF(AND($F10="Auftragsgeber/in",$B10="B-Kriterium",$M10=S$9),1,0)</f>
        <v>0</v>
      </c>
      <c r="T10" s="135">
        <f>IF(M10="nok",1,0)</f>
        <v>0</v>
      </c>
    </row>
    <row r="11" spans="1:23" ht="26.4">
      <c r="A11" s="53" t="str">
        <f t="shared" si="0"/>
        <v>1</v>
      </c>
      <c r="B11" s="51" t="s">
        <v>75</v>
      </c>
      <c r="C11" s="51" t="s">
        <v>312</v>
      </c>
      <c r="D11" s="55" t="s">
        <v>313</v>
      </c>
      <c r="E11" s="50" t="s">
        <v>113</v>
      </c>
      <c r="F11" s="50" t="s">
        <v>95</v>
      </c>
      <c r="G11" s="95"/>
      <c r="H11" s="317"/>
      <c r="I11" s="80" t="str">
        <f>IF(B11="","",IF(B11="B-Kriterium",1,"---"))</f>
        <v>---</v>
      </c>
      <c r="J11" s="80" t="str">
        <f>IF(B11="","",IF(B11="A-Kriterium","---",O11))</f>
        <v>---</v>
      </c>
      <c r="K11" s="50" t="str">
        <f>IF($B11="A-Kriterium","---",IF(B11="","",IF(AND(B11="B-Kriterium",G11="ja"),J11,0)))</f>
        <v>---</v>
      </c>
      <c r="L11" s="81" t="str">
        <f>IF(B11="A-Kriterium","---",IF(B11="","",I11*K11))</f>
        <v>---</v>
      </c>
      <c r="M11" s="42" t="str">
        <f>IF(AND(ISBLANK(G11)=FALSE,B11="B-Kriterium"),"ok",IF($B11="","",IF(AND(B11="A-Kriterium",G11="ja"),"ok",IF(AND(B11="A-Kriterium",G11="nein"),"nok","offen"))))</f>
        <v>offen</v>
      </c>
      <c r="N11" s="50"/>
      <c r="P11" s="135">
        <f t="shared" ref="P11:P67" si="1">IF(AND($F11="Bieter/in",$B11="A-Kriterium",$M11=P$9),1,0)</f>
        <v>1</v>
      </c>
      <c r="Q11" s="135">
        <f t="shared" ref="Q11:Q67" si="2">IF(AND($F11="Auftragsgeber/in",$B11="A-Kriterium",$M11=Q$9),1,0)</f>
        <v>0</v>
      </c>
      <c r="R11" s="135">
        <f t="shared" ref="R11:R67" si="3">IF(AND($F11="Bieter/in",$B11="B-Kriterium",$M11=R$9),1,0)</f>
        <v>0</v>
      </c>
      <c r="S11" s="135">
        <f t="shared" ref="S11:S67" si="4">IF(AND($F11="Auftragsgeber/in",$B11="B-Kriterium",$M11=S$9),1,0)</f>
        <v>0</v>
      </c>
      <c r="T11" s="135">
        <f t="shared" ref="T11:T67" si="5">IF(M11="nok",1,0)</f>
        <v>0</v>
      </c>
    </row>
    <row r="12" spans="1:23">
      <c r="A12" s="53" t="str">
        <f t="shared" si="0"/>
        <v>1</v>
      </c>
      <c r="B12" s="51" t="s">
        <v>75</v>
      </c>
      <c r="C12" s="51" t="s">
        <v>314</v>
      </c>
      <c r="D12" s="55" t="s">
        <v>315</v>
      </c>
      <c r="E12" s="290" t="s">
        <v>113</v>
      </c>
      <c r="F12" s="50" t="s">
        <v>95</v>
      </c>
      <c r="G12" s="95"/>
      <c r="H12" s="317"/>
      <c r="I12" s="80" t="str">
        <f t="shared" ref="I12:I29" si="6">IF(B12="","",IF(B12="B-Kriterium",1,"---"))</f>
        <v>---</v>
      </c>
      <c r="J12" s="80" t="str">
        <f t="shared" ref="J12:J29" si="7">IF(B12="","",IF(B12="A-Kriterium","---",O12))</f>
        <v>---</v>
      </c>
      <c r="K12" s="50" t="str">
        <f t="shared" ref="K12:K29" si="8">IF($B12="A-Kriterium","---",IF(B12="","",IF(AND(B12="B-Kriterium",G12="ja"),J12,0)))</f>
        <v>---</v>
      </c>
      <c r="L12" s="81" t="str">
        <f t="shared" ref="L12:L29" si="9">IF(B12="A-Kriterium","---",IF(B12="","",I12*K12))</f>
        <v>---</v>
      </c>
      <c r="M12" s="42" t="str">
        <f t="shared" ref="M12:M29" si="10">IF(AND(ISBLANK(G12)=FALSE,B12="B-Kriterium"),"ok",IF($B12="","",IF(AND(B12="A-Kriterium",G12="ja"),"ok",IF(AND(B12="A-Kriterium",G12="nein"),"nok","offen"))))</f>
        <v>offen</v>
      </c>
      <c r="N12" s="50"/>
      <c r="P12" s="135">
        <f t="shared" si="1"/>
        <v>1</v>
      </c>
      <c r="Q12" s="135">
        <f t="shared" si="2"/>
        <v>0</v>
      </c>
      <c r="R12" s="135">
        <f t="shared" si="3"/>
        <v>0</v>
      </c>
      <c r="S12" s="135">
        <f t="shared" si="4"/>
        <v>0</v>
      </c>
      <c r="T12" s="135">
        <f t="shared" si="5"/>
        <v>0</v>
      </c>
    </row>
    <row r="13" spans="1:23">
      <c r="A13" s="53" t="str">
        <f t="shared" si="0"/>
        <v>1</v>
      </c>
      <c r="B13" s="51" t="s">
        <v>75</v>
      </c>
      <c r="C13" s="51" t="s">
        <v>316</v>
      </c>
      <c r="D13" s="55" t="s">
        <v>317</v>
      </c>
      <c r="E13" s="290" t="s">
        <v>113</v>
      </c>
      <c r="F13" s="50" t="s">
        <v>95</v>
      </c>
      <c r="G13" s="95"/>
      <c r="H13" s="317"/>
      <c r="I13" s="80" t="str">
        <f t="shared" si="6"/>
        <v>---</v>
      </c>
      <c r="J13" s="80" t="str">
        <f t="shared" si="7"/>
        <v>---</v>
      </c>
      <c r="K13" s="50" t="str">
        <f t="shared" si="8"/>
        <v>---</v>
      </c>
      <c r="L13" s="81" t="str">
        <f t="shared" si="9"/>
        <v>---</v>
      </c>
      <c r="M13" s="42" t="str">
        <f t="shared" si="10"/>
        <v>offen</v>
      </c>
      <c r="N13" s="50"/>
      <c r="P13" s="135">
        <f t="shared" si="1"/>
        <v>1</v>
      </c>
      <c r="Q13" s="135">
        <f t="shared" si="2"/>
        <v>0</v>
      </c>
      <c r="R13" s="135">
        <f t="shared" si="3"/>
        <v>0</v>
      </c>
      <c r="S13" s="135">
        <f t="shared" si="4"/>
        <v>0</v>
      </c>
      <c r="T13" s="135">
        <f t="shared" si="5"/>
        <v>0</v>
      </c>
    </row>
    <row r="14" spans="1:23">
      <c r="A14" s="53" t="str">
        <f t="shared" si="0"/>
        <v>1</v>
      </c>
      <c r="B14" s="51" t="s">
        <v>75</v>
      </c>
      <c r="C14" s="51" t="s">
        <v>318</v>
      </c>
      <c r="D14" s="55" t="s">
        <v>319</v>
      </c>
      <c r="E14" s="290" t="s">
        <v>113</v>
      </c>
      <c r="F14" s="50" t="s">
        <v>95</v>
      </c>
      <c r="G14" s="95"/>
      <c r="H14" s="317"/>
      <c r="I14" s="80" t="str">
        <f t="shared" si="6"/>
        <v>---</v>
      </c>
      <c r="J14" s="80" t="str">
        <f t="shared" si="7"/>
        <v>---</v>
      </c>
      <c r="K14" s="50" t="str">
        <f t="shared" si="8"/>
        <v>---</v>
      </c>
      <c r="L14" s="81" t="str">
        <f t="shared" si="9"/>
        <v>---</v>
      </c>
      <c r="M14" s="42" t="str">
        <f t="shared" si="10"/>
        <v>offen</v>
      </c>
      <c r="N14" s="50"/>
      <c r="P14" s="135">
        <f t="shared" si="1"/>
        <v>1</v>
      </c>
      <c r="Q14" s="135">
        <f t="shared" si="2"/>
        <v>0</v>
      </c>
      <c r="R14" s="135">
        <f t="shared" si="3"/>
        <v>0</v>
      </c>
      <c r="S14" s="135">
        <f t="shared" si="4"/>
        <v>0</v>
      </c>
      <c r="T14" s="135">
        <f t="shared" si="5"/>
        <v>0</v>
      </c>
    </row>
    <row r="15" spans="1:23">
      <c r="A15" s="53" t="str">
        <f t="shared" si="0"/>
        <v>1</v>
      </c>
      <c r="B15" s="51" t="s">
        <v>75</v>
      </c>
      <c r="C15" s="51" t="s">
        <v>320</v>
      </c>
      <c r="D15" s="55" t="s">
        <v>321</v>
      </c>
      <c r="E15" s="290" t="s">
        <v>113</v>
      </c>
      <c r="F15" s="50" t="s">
        <v>95</v>
      </c>
      <c r="G15" s="95"/>
      <c r="H15" s="317"/>
      <c r="I15" s="80" t="str">
        <f t="shared" si="6"/>
        <v>---</v>
      </c>
      <c r="J15" s="80" t="str">
        <f t="shared" si="7"/>
        <v>---</v>
      </c>
      <c r="K15" s="50" t="str">
        <f t="shared" si="8"/>
        <v>---</v>
      </c>
      <c r="L15" s="81" t="str">
        <f t="shared" si="9"/>
        <v>---</v>
      </c>
      <c r="M15" s="42" t="str">
        <f t="shared" si="10"/>
        <v>offen</v>
      </c>
      <c r="N15" s="50"/>
      <c r="P15" s="135">
        <f t="shared" si="1"/>
        <v>1</v>
      </c>
      <c r="Q15" s="135">
        <f t="shared" si="2"/>
        <v>0</v>
      </c>
      <c r="R15" s="135">
        <f t="shared" si="3"/>
        <v>0</v>
      </c>
      <c r="S15" s="135">
        <f t="shared" si="4"/>
        <v>0</v>
      </c>
      <c r="T15" s="135">
        <f t="shared" si="5"/>
        <v>0</v>
      </c>
    </row>
    <row r="16" spans="1:23">
      <c r="A16" s="53" t="str">
        <f t="shared" si="0"/>
        <v>1</v>
      </c>
      <c r="B16" s="51" t="s">
        <v>75</v>
      </c>
      <c r="C16" s="51" t="s">
        <v>322</v>
      </c>
      <c r="D16" s="55" t="s">
        <v>323</v>
      </c>
      <c r="E16" s="290" t="s">
        <v>113</v>
      </c>
      <c r="F16" s="50" t="s">
        <v>95</v>
      </c>
      <c r="G16" s="95"/>
      <c r="H16" s="317"/>
      <c r="I16" s="80" t="str">
        <f t="shared" si="6"/>
        <v>---</v>
      </c>
      <c r="J16" s="80" t="str">
        <f t="shared" si="7"/>
        <v>---</v>
      </c>
      <c r="K16" s="50" t="str">
        <f t="shared" si="8"/>
        <v>---</v>
      </c>
      <c r="L16" s="81" t="str">
        <f t="shared" si="9"/>
        <v>---</v>
      </c>
      <c r="M16" s="42" t="str">
        <f t="shared" si="10"/>
        <v>offen</v>
      </c>
      <c r="N16" s="50"/>
      <c r="P16" s="135">
        <f t="shared" si="1"/>
        <v>1</v>
      </c>
      <c r="Q16" s="135">
        <f t="shared" si="2"/>
        <v>0</v>
      </c>
      <c r="R16" s="135">
        <f t="shared" si="3"/>
        <v>0</v>
      </c>
      <c r="S16" s="135">
        <f t="shared" si="4"/>
        <v>0</v>
      </c>
      <c r="T16" s="135">
        <f t="shared" si="5"/>
        <v>0</v>
      </c>
    </row>
    <row r="17" spans="1:20">
      <c r="A17" s="53" t="str">
        <f t="shared" si="0"/>
        <v>1</v>
      </c>
      <c r="B17" s="51" t="s">
        <v>75</v>
      </c>
      <c r="C17" s="51" t="s">
        <v>324</v>
      </c>
      <c r="D17" s="55" t="s">
        <v>325</v>
      </c>
      <c r="E17" s="290" t="s">
        <v>113</v>
      </c>
      <c r="F17" s="50" t="s">
        <v>95</v>
      </c>
      <c r="G17" s="95"/>
      <c r="H17" s="317"/>
      <c r="I17" s="80" t="str">
        <f t="shared" si="6"/>
        <v>---</v>
      </c>
      <c r="J17" s="80" t="str">
        <f t="shared" si="7"/>
        <v>---</v>
      </c>
      <c r="K17" s="50" t="str">
        <f t="shared" si="8"/>
        <v>---</v>
      </c>
      <c r="L17" s="81" t="str">
        <f t="shared" si="9"/>
        <v>---</v>
      </c>
      <c r="M17" s="42" t="str">
        <f t="shared" si="10"/>
        <v>offen</v>
      </c>
      <c r="N17" s="50"/>
      <c r="P17" s="135">
        <f t="shared" si="1"/>
        <v>1</v>
      </c>
      <c r="Q17" s="135">
        <f t="shared" si="2"/>
        <v>0</v>
      </c>
      <c r="R17" s="135">
        <f t="shared" si="3"/>
        <v>0</v>
      </c>
      <c r="S17" s="135">
        <f t="shared" si="4"/>
        <v>0</v>
      </c>
      <c r="T17" s="135">
        <f t="shared" si="5"/>
        <v>0</v>
      </c>
    </row>
    <row r="18" spans="1:20">
      <c r="A18" s="53" t="str">
        <f t="shared" si="0"/>
        <v>1</v>
      </c>
      <c r="B18" s="51" t="s">
        <v>94</v>
      </c>
      <c r="C18" s="51" t="s">
        <v>326</v>
      </c>
      <c r="D18" s="55" t="s">
        <v>327</v>
      </c>
      <c r="E18" s="290" t="s">
        <v>113</v>
      </c>
      <c r="F18" s="50" t="s">
        <v>95</v>
      </c>
      <c r="G18" s="95"/>
      <c r="H18" s="317"/>
      <c r="I18" s="80">
        <f t="shared" si="6"/>
        <v>1</v>
      </c>
      <c r="J18" s="80">
        <f t="shared" si="7"/>
        <v>1</v>
      </c>
      <c r="K18" s="50">
        <f t="shared" si="8"/>
        <v>0</v>
      </c>
      <c r="L18" s="81">
        <f t="shared" si="9"/>
        <v>0</v>
      </c>
      <c r="M18" s="42" t="str">
        <f t="shared" si="10"/>
        <v>offen</v>
      </c>
      <c r="N18" s="50"/>
      <c r="O18" s="44">
        <v>1</v>
      </c>
      <c r="P18" s="135">
        <f t="shared" si="1"/>
        <v>0</v>
      </c>
      <c r="Q18" s="135">
        <f t="shared" si="2"/>
        <v>0</v>
      </c>
      <c r="R18" s="135">
        <f t="shared" si="3"/>
        <v>1</v>
      </c>
      <c r="S18" s="135">
        <f t="shared" si="4"/>
        <v>0</v>
      </c>
      <c r="T18" s="135">
        <f t="shared" si="5"/>
        <v>0</v>
      </c>
    </row>
    <row r="19" spans="1:20">
      <c r="A19" s="53" t="str">
        <f t="shared" si="0"/>
        <v>1</v>
      </c>
      <c r="B19" s="51" t="s">
        <v>75</v>
      </c>
      <c r="C19" s="51" t="s">
        <v>328</v>
      </c>
      <c r="D19" s="55" t="s">
        <v>329</v>
      </c>
      <c r="E19" s="290" t="s">
        <v>113</v>
      </c>
      <c r="F19" s="50" t="s">
        <v>95</v>
      </c>
      <c r="G19" s="95"/>
      <c r="H19" s="317"/>
      <c r="I19" s="80" t="str">
        <f t="shared" si="6"/>
        <v>---</v>
      </c>
      <c r="J19" s="80" t="str">
        <f t="shared" si="7"/>
        <v>---</v>
      </c>
      <c r="K19" s="50" t="str">
        <f t="shared" si="8"/>
        <v>---</v>
      </c>
      <c r="L19" s="81" t="str">
        <f t="shared" si="9"/>
        <v>---</v>
      </c>
      <c r="M19" s="42" t="str">
        <f t="shared" si="10"/>
        <v>offen</v>
      </c>
      <c r="N19" s="50"/>
      <c r="P19" s="135">
        <f t="shared" si="1"/>
        <v>1</v>
      </c>
      <c r="Q19" s="135">
        <f t="shared" si="2"/>
        <v>0</v>
      </c>
      <c r="R19" s="135">
        <f t="shared" si="3"/>
        <v>0</v>
      </c>
      <c r="S19" s="135">
        <f t="shared" si="4"/>
        <v>0</v>
      </c>
      <c r="T19" s="135">
        <f t="shared" si="5"/>
        <v>0</v>
      </c>
    </row>
    <row r="20" spans="1:20">
      <c r="A20" s="53" t="str">
        <f t="shared" si="0"/>
        <v>1</v>
      </c>
      <c r="B20" s="51" t="s">
        <v>75</v>
      </c>
      <c r="C20" s="51" t="s">
        <v>330</v>
      </c>
      <c r="D20" s="55" t="s">
        <v>331</v>
      </c>
      <c r="E20" s="290" t="s">
        <v>113</v>
      </c>
      <c r="F20" s="50" t="s">
        <v>95</v>
      </c>
      <c r="G20" s="95"/>
      <c r="H20" s="317"/>
      <c r="I20" s="80" t="str">
        <f t="shared" si="6"/>
        <v>---</v>
      </c>
      <c r="J20" s="80" t="str">
        <f t="shared" si="7"/>
        <v>---</v>
      </c>
      <c r="K20" s="50" t="str">
        <f t="shared" si="8"/>
        <v>---</v>
      </c>
      <c r="L20" s="81" t="str">
        <f t="shared" si="9"/>
        <v>---</v>
      </c>
      <c r="M20" s="42" t="str">
        <f t="shared" si="10"/>
        <v>offen</v>
      </c>
      <c r="N20" s="50"/>
      <c r="P20" s="135">
        <f t="shared" si="1"/>
        <v>1</v>
      </c>
      <c r="Q20" s="135">
        <f t="shared" si="2"/>
        <v>0</v>
      </c>
      <c r="R20" s="135">
        <f t="shared" si="3"/>
        <v>0</v>
      </c>
      <c r="S20" s="135">
        <f t="shared" si="4"/>
        <v>0</v>
      </c>
      <c r="T20" s="135">
        <f t="shared" si="5"/>
        <v>0</v>
      </c>
    </row>
    <row r="21" spans="1:20">
      <c r="A21" s="53" t="str">
        <f t="shared" si="0"/>
        <v>1</v>
      </c>
      <c r="B21" s="51"/>
      <c r="C21" s="51"/>
      <c r="D21" s="55" t="s">
        <v>332</v>
      </c>
      <c r="E21" s="205"/>
      <c r="F21" s="50"/>
      <c r="G21" s="317"/>
      <c r="H21" s="317"/>
      <c r="I21" s="80" t="str">
        <f t="shared" si="6"/>
        <v/>
      </c>
      <c r="J21" s="80" t="str">
        <f t="shared" si="7"/>
        <v/>
      </c>
      <c r="K21" s="50" t="str">
        <f t="shared" si="8"/>
        <v/>
      </c>
      <c r="L21" s="81" t="str">
        <f t="shared" si="9"/>
        <v/>
      </c>
      <c r="M21" s="42" t="str">
        <f t="shared" si="10"/>
        <v/>
      </c>
      <c r="N21" s="50"/>
      <c r="P21" s="135">
        <f t="shared" si="1"/>
        <v>0</v>
      </c>
      <c r="Q21" s="135">
        <f t="shared" si="2"/>
        <v>0</v>
      </c>
      <c r="R21" s="135">
        <f t="shared" si="3"/>
        <v>0</v>
      </c>
      <c r="S21" s="135">
        <f t="shared" si="4"/>
        <v>0</v>
      </c>
      <c r="T21" s="135">
        <f t="shared" si="5"/>
        <v>0</v>
      </c>
    </row>
    <row r="22" spans="1:20" ht="52.8">
      <c r="A22" s="53" t="str">
        <f t="shared" si="0"/>
        <v>1</v>
      </c>
      <c r="B22" s="51" t="s">
        <v>75</v>
      </c>
      <c r="C22" s="51" t="s">
        <v>333</v>
      </c>
      <c r="D22" s="267" t="s">
        <v>334</v>
      </c>
      <c r="E22" s="290" t="s">
        <v>335</v>
      </c>
      <c r="F22" s="50" t="s">
        <v>95</v>
      </c>
      <c r="G22" s="95"/>
      <c r="H22" s="317"/>
      <c r="I22" s="80" t="str">
        <f t="shared" si="6"/>
        <v>---</v>
      </c>
      <c r="J22" s="80" t="str">
        <f t="shared" si="7"/>
        <v>---</v>
      </c>
      <c r="K22" s="50" t="str">
        <f t="shared" si="8"/>
        <v>---</v>
      </c>
      <c r="L22" s="81" t="str">
        <f t="shared" si="9"/>
        <v>---</v>
      </c>
      <c r="M22" s="42" t="str">
        <f t="shared" si="10"/>
        <v>offen</v>
      </c>
      <c r="N22" s="50"/>
      <c r="P22" s="135">
        <f t="shared" si="1"/>
        <v>1</v>
      </c>
      <c r="Q22" s="135">
        <f t="shared" si="2"/>
        <v>0</v>
      </c>
      <c r="R22" s="135">
        <f t="shared" si="3"/>
        <v>0</v>
      </c>
      <c r="S22" s="135">
        <f t="shared" si="4"/>
        <v>0</v>
      </c>
      <c r="T22" s="135">
        <f t="shared" si="5"/>
        <v>0</v>
      </c>
    </row>
    <row r="23" spans="1:20" ht="52.8">
      <c r="A23" s="53" t="str">
        <f t="shared" si="0"/>
        <v>1</v>
      </c>
      <c r="B23" s="51" t="s">
        <v>94</v>
      </c>
      <c r="C23" s="51" t="s">
        <v>336</v>
      </c>
      <c r="D23" s="267" t="s">
        <v>337</v>
      </c>
      <c r="E23" s="290" t="s">
        <v>335</v>
      </c>
      <c r="F23" s="50" t="s">
        <v>95</v>
      </c>
      <c r="G23" s="95"/>
      <c r="H23" s="317"/>
      <c r="I23" s="80">
        <f t="shared" si="6"/>
        <v>1</v>
      </c>
      <c r="J23" s="80">
        <f t="shared" si="7"/>
        <v>5</v>
      </c>
      <c r="K23" s="50">
        <f t="shared" si="8"/>
        <v>0</v>
      </c>
      <c r="L23" s="81">
        <f t="shared" si="9"/>
        <v>0</v>
      </c>
      <c r="M23" s="42" t="str">
        <f t="shared" si="10"/>
        <v>offen</v>
      </c>
      <c r="N23" s="50"/>
      <c r="O23" s="44">
        <v>5</v>
      </c>
      <c r="P23" s="135">
        <f t="shared" si="1"/>
        <v>0</v>
      </c>
      <c r="Q23" s="135">
        <f t="shared" si="2"/>
        <v>0</v>
      </c>
      <c r="R23" s="135">
        <f t="shared" si="3"/>
        <v>1</v>
      </c>
      <c r="S23" s="135">
        <f t="shared" si="4"/>
        <v>0</v>
      </c>
      <c r="T23" s="135">
        <f t="shared" si="5"/>
        <v>0</v>
      </c>
    </row>
    <row r="24" spans="1:20" ht="52.8">
      <c r="A24" s="53" t="str">
        <f t="shared" si="0"/>
        <v>1</v>
      </c>
      <c r="B24" s="51" t="s">
        <v>94</v>
      </c>
      <c r="C24" s="51" t="s">
        <v>338</v>
      </c>
      <c r="D24" s="267" t="s">
        <v>339</v>
      </c>
      <c r="E24" s="290" t="s">
        <v>335</v>
      </c>
      <c r="F24" s="50" t="s">
        <v>95</v>
      </c>
      <c r="G24" s="95"/>
      <c r="H24" s="317"/>
      <c r="I24" s="80">
        <f t="shared" si="6"/>
        <v>1</v>
      </c>
      <c r="J24" s="80">
        <f t="shared" si="7"/>
        <v>1</v>
      </c>
      <c r="K24" s="50">
        <f t="shared" si="8"/>
        <v>0</v>
      </c>
      <c r="L24" s="81">
        <f t="shared" si="9"/>
        <v>0</v>
      </c>
      <c r="M24" s="42" t="str">
        <f t="shared" si="10"/>
        <v>offen</v>
      </c>
      <c r="N24" s="50"/>
      <c r="O24" s="44">
        <v>1</v>
      </c>
      <c r="P24" s="135">
        <f t="shared" si="1"/>
        <v>0</v>
      </c>
      <c r="Q24" s="135">
        <f t="shared" si="2"/>
        <v>0</v>
      </c>
      <c r="R24" s="135">
        <f t="shared" si="3"/>
        <v>1</v>
      </c>
      <c r="S24" s="135">
        <f t="shared" si="4"/>
        <v>0</v>
      </c>
      <c r="T24" s="135">
        <f t="shared" si="5"/>
        <v>0</v>
      </c>
    </row>
    <row r="25" spans="1:20" ht="52.8">
      <c r="A25" s="53" t="str">
        <f t="shared" si="0"/>
        <v>1</v>
      </c>
      <c r="B25" s="51" t="s">
        <v>94</v>
      </c>
      <c r="C25" s="51" t="s">
        <v>340</v>
      </c>
      <c r="D25" s="267" t="s">
        <v>341</v>
      </c>
      <c r="E25" s="290" t="s">
        <v>335</v>
      </c>
      <c r="F25" s="50" t="s">
        <v>95</v>
      </c>
      <c r="G25" s="95"/>
      <c r="H25" s="317"/>
      <c r="I25" s="80">
        <f t="shared" si="6"/>
        <v>1</v>
      </c>
      <c r="J25" s="80">
        <f t="shared" si="7"/>
        <v>5</v>
      </c>
      <c r="K25" s="50">
        <f t="shared" si="8"/>
        <v>0</v>
      </c>
      <c r="L25" s="81">
        <f t="shared" si="9"/>
        <v>0</v>
      </c>
      <c r="M25" s="42" t="str">
        <f t="shared" si="10"/>
        <v>offen</v>
      </c>
      <c r="N25" s="50"/>
      <c r="O25" s="44">
        <v>5</v>
      </c>
      <c r="P25" s="135">
        <f t="shared" si="1"/>
        <v>0</v>
      </c>
      <c r="Q25" s="135">
        <f t="shared" si="2"/>
        <v>0</v>
      </c>
      <c r="R25" s="135">
        <f t="shared" si="3"/>
        <v>1</v>
      </c>
      <c r="S25" s="135">
        <f t="shared" si="4"/>
        <v>0</v>
      </c>
      <c r="T25" s="135">
        <f t="shared" si="5"/>
        <v>0</v>
      </c>
    </row>
    <row r="26" spans="1:20" ht="52.8">
      <c r="A26" s="53" t="str">
        <f t="shared" si="0"/>
        <v>1</v>
      </c>
      <c r="B26" s="51" t="s">
        <v>75</v>
      </c>
      <c r="C26" s="51" t="s">
        <v>342</v>
      </c>
      <c r="D26" s="55" t="s">
        <v>343</v>
      </c>
      <c r="E26" s="290" t="s">
        <v>344</v>
      </c>
      <c r="F26" s="50" t="s">
        <v>95</v>
      </c>
      <c r="G26" s="95"/>
      <c r="H26" s="317"/>
      <c r="I26" s="80" t="str">
        <f t="shared" si="6"/>
        <v>---</v>
      </c>
      <c r="J26" s="80" t="str">
        <f t="shared" si="7"/>
        <v>---</v>
      </c>
      <c r="K26" s="50" t="str">
        <f t="shared" si="8"/>
        <v>---</v>
      </c>
      <c r="L26" s="81" t="str">
        <f t="shared" si="9"/>
        <v>---</v>
      </c>
      <c r="M26" s="42" t="str">
        <f t="shared" si="10"/>
        <v>offen</v>
      </c>
      <c r="N26" s="50"/>
      <c r="P26" s="135">
        <f t="shared" si="1"/>
        <v>1</v>
      </c>
      <c r="Q26" s="135">
        <f t="shared" si="2"/>
        <v>0</v>
      </c>
      <c r="R26" s="135">
        <f t="shared" si="3"/>
        <v>0</v>
      </c>
      <c r="S26" s="135">
        <f t="shared" si="4"/>
        <v>0</v>
      </c>
      <c r="T26" s="135">
        <f t="shared" si="5"/>
        <v>0</v>
      </c>
    </row>
    <row r="27" spans="1:20">
      <c r="A27" s="53" t="str">
        <f t="shared" si="0"/>
        <v>1</v>
      </c>
      <c r="B27" s="51" t="s">
        <v>75</v>
      </c>
      <c r="C27" s="51" t="s">
        <v>345</v>
      </c>
      <c r="D27" s="55" t="s">
        <v>346</v>
      </c>
      <c r="E27" s="50" t="s">
        <v>113</v>
      </c>
      <c r="F27" s="50" t="s">
        <v>95</v>
      </c>
      <c r="G27" s="95"/>
      <c r="H27" s="317"/>
      <c r="I27" s="80" t="str">
        <f t="shared" si="6"/>
        <v>---</v>
      </c>
      <c r="J27" s="80" t="str">
        <f t="shared" si="7"/>
        <v>---</v>
      </c>
      <c r="K27" s="50" t="str">
        <f t="shared" si="8"/>
        <v>---</v>
      </c>
      <c r="L27" s="81" t="str">
        <f t="shared" si="9"/>
        <v>---</v>
      </c>
      <c r="M27" s="42" t="str">
        <f t="shared" si="10"/>
        <v>offen</v>
      </c>
      <c r="N27" s="50"/>
      <c r="P27" s="135">
        <f t="shared" si="1"/>
        <v>1</v>
      </c>
      <c r="Q27" s="135">
        <f t="shared" si="2"/>
        <v>0</v>
      </c>
      <c r="R27" s="135">
        <f t="shared" si="3"/>
        <v>0</v>
      </c>
      <c r="S27" s="135">
        <f t="shared" si="4"/>
        <v>0</v>
      </c>
      <c r="T27" s="135">
        <f t="shared" si="5"/>
        <v>0</v>
      </c>
    </row>
    <row r="28" spans="1:20">
      <c r="A28" s="334" t="str">
        <f t="shared" si="0"/>
        <v/>
      </c>
      <c r="B28" s="51"/>
      <c r="C28" s="51"/>
      <c r="D28" s="55"/>
      <c r="E28" s="290"/>
      <c r="F28" s="50"/>
      <c r="G28" s="50"/>
      <c r="H28" s="290"/>
      <c r="I28" s="80" t="str">
        <f t="shared" si="6"/>
        <v/>
      </c>
      <c r="J28" s="80" t="str">
        <f t="shared" si="7"/>
        <v/>
      </c>
      <c r="K28" s="50" t="str">
        <f t="shared" si="8"/>
        <v/>
      </c>
      <c r="L28" s="81" t="str">
        <f t="shared" si="9"/>
        <v/>
      </c>
      <c r="M28" s="42" t="str">
        <f t="shared" si="10"/>
        <v/>
      </c>
      <c r="N28" s="50"/>
      <c r="P28" s="135">
        <f t="shared" si="1"/>
        <v>0</v>
      </c>
      <c r="Q28" s="135">
        <f t="shared" si="2"/>
        <v>0</v>
      </c>
      <c r="R28" s="135">
        <f t="shared" si="3"/>
        <v>0</v>
      </c>
      <c r="S28" s="135">
        <f t="shared" si="4"/>
        <v>0</v>
      </c>
      <c r="T28" s="135">
        <f t="shared" si="5"/>
        <v>0</v>
      </c>
    </row>
    <row r="29" spans="1:20">
      <c r="A29" s="53" t="str">
        <f t="shared" si="0"/>
        <v>1</v>
      </c>
      <c r="B29" s="51"/>
      <c r="C29" s="333" t="s">
        <v>347</v>
      </c>
      <c r="D29" s="55" t="s">
        <v>348</v>
      </c>
      <c r="E29" s="290"/>
      <c r="F29" s="50"/>
      <c r="G29" s="95"/>
      <c r="H29" s="290"/>
      <c r="I29" s="80" t="str">
        <f t="shared" si="6"/>
        <v/>
      </c>
      <c r="J29" s="80" t="str">
        <f t="shared" si="7"/>
        <v/>
      </c>
      <c r="K29" s="50" t="str">
        <f t="shared" si="8"/>
        <v/>
      </c>
      <c r="L29" s="81" t="str">
        <f t="shared" si="9"/>
        <v/>
      </c>
      <c r="M29" s="42" t="str">
        <f t="shared" si="10"/>
        <v/>
      </c>
      <c r="N29" s="50"/>
      <c r="P29" s="135">
        <f t="shared" si="1"/>
        <v>0</v>
      </c>
      <c r="Q29" s="135">
        <f t="shared" si="2"/>
        <v>0</v>
      </c>
      <c r="R29" s="135">
        <f t="shared" si="3"/>
        <v>0</v>
      </c>
      <c r="S29" s="135">
        <f t="shared" si="4"/>
        <v>0</v>
      </c>
      <c r="T29" s="135">
        <f t="shared" si="5"/>
        <v>0</v>
      </c>
    </row>
    <row r="30" spans="1:20">
      <c r="A30" s="53" t="str">
        <f t="shared" si="0"/>
        <v>1</v>
      </c>
      <c r="B30" s="51" t="s">
        <v>75</v>
      </c>
      <c r="C30" s="51" t="s">
        <v>349</v>
      </c>
      <c r="D30" s="55" t="s">
        <v>350</v>
      </c>
      <c r="E30" s="290" t="s">
        <v>113</v>
      </c>
      <c r="F30" s="50" t="s">
        <v>95</v>
      </c>
      <c r="G30" s="95"/>
      <c r="H30" s="317"/>
      <c r="I30" s="80" t="str">
        <f t="shared" ref="I30:I53" si="11">IF(B30="","",IF(B30="B-Kriterium",1,"---"))</f>
        <v>---</v>
      </c>
      <c r="J30" s="80" t="str">
        <f t="shared" ref="J30:J53" si="12">IF(B30="","",IF(B30="A-Kriterium","---",O30))</f>
        <v>---</v>
      </c>
      <c r="K30" s="50" t="str">
        <f t="shared" ref="K30:K53" si="13">IF($B30="A-Kriterium","---",IF(B30="","",IF(AND(B30="B-Kriterium",G30="ja"),J30,0)))</f>
        <v>---</v>
      </c>
      <c r="L30" s="81" t="str">
        <f t="shared" ref="L30:L53" si="14">IF(B30="A-Kriterium","---",IF(B30="","",I30*K30))</f>
        <v>---</v>
      </c>
      <c r="M30" s="42" t="str">
        <f t="shared" ref="M30:M53" si="15">IF(AND(ISBLANK(G30)=FALSE,B30="B-Kriterium"),"ok",IF($B30="","",IF(AND(B30="A-Kriterium",G30="ja"),"ok",IF(AND(B30="A-Kriterium",G30="nein"),"nok","offen"))))</f>
        <v>offen</v>
      </c>
      <c r="N30" s="50"/>
      <c r="P30" s="135">
        <f t="shared" si="1"/>
        <v>1</v>
      </c>
      <c r="Q30" s="135">
        <f t="shared" si="2"/>
        <v>0</v>
      </c>
      <c r="R30" s="135">
        <f t="shared" si="3"/>
        <v>0</v>
      </c>
      <c r="S30" s="135">
        <f t="shared" si="4"/>
        <v>0</v>
      </c>
      <c r="T30" s="135">
        <f t="shared" si="5"/>
        <v>0</v>
      </c>
    </row>
    <row r="31" spans="1:20">
      <c r="A31" s="53" t="str">
        <f t="shared" si="0"/>
        <v>1</v>
      </c>
      <c r="B31" s="51" t="s">
        <v>75</v>
      </c>
      <c r="C31" s="51" t="s">
        <v>351</v>
      </c>
      <c r="D31" s="55" t="s">
        <v>352</v>
      </c>
      <c r="E31" s="290" t="s">
        <v>113</v>
      </c>
      <c r="F31" s="50" t="s">
        <v>95</v>
      </c>
      <c r="G31" s="95"/>
      <c r="H31" s="317"/>
      <c r="I31" s="80" t="str">
        <f t="shared" si="11"/>
        <v>---</v>
      </c>
      <c r="J31" s="80" t="str">
        <f t="shared" si="12"/>
        <v>---</v>
      </c>
      <c r="K31" s="50" t="str">
        <f t="shared" si="13"/>
        <v>---</v>
      </c>
      <c r="L31" s="81" t="str">
        <f t="shared" si="14"/>
        <v>---</v>
      </c>
      <c r="M31" s="42" t="str">
        <f t="shared" si="15"/>
        <v>offen</v>
      </c>
      <c r="N31" s="50"/>
      <c r="P31" s="135">
        <f t="shared" si="1"/>
        <v>1</v>
      </c>
      <c r="Q31" s="135">
        <f t="shared" si="2"/>
        <v>0</v>
      </c>
      <c r="R31" s="135">
        <f t="shared" si="3"/>
        <v>0</v>
      </c>
      <c r="S31" s="135">
        <f t="shared" si="4"/>
        <v>0</v>
      </c>
      <c r="T31" s="135">
        <f t="shared" si="5"/>
        <v>0</v>
      </c>
    </row>
    <row r="32" spans="1:20">
      <c r="A32" s="53" t="str">
        <f t="shared" si="0"/>
        <v>1</v>
      </c>
      <c r="B32" s="51" t="s">
        <v>94</v>
      </c>
      <c r="C32" s="51" t="s">
        <v>353</v>
      </c>
      <c r="D32" s="55" t="s">
        <v>354</v>
      </c>
      <c r="E32" s="290" t="s">
        <v>113</v>
      </c>
      <c r="F32" s="50" t="s">
        <v>95</v>
      </c>
      <c r="G32" s="95"/>
      <c r="H32" s="317"/>
      <c r="I32" s="80">
        <f t="shared" si="11"/>
        <v>1</v>
      </c>
      <c r="J32" s="80">
        <f t="shared" si="12"/>
        <v>1</v>
      </c>
      <c r="K32" s="50">
        <f t="shared" si="13"/>
        <v>0</v>
      </c>
      <c r="L32" s="81">
        <f t="shared" si="14"/>
        <v>0</v>
      </c>
      <c r="M32" s="42" t="str">
        <f t="shared" si="15"/>
        <v>offen</v>
      </c>
      <c r="N32" s="50"/>
      <c r="O32" s="44">
        <v>1</v>
      </c>
      <c r="P32" s="135">
        <f t="shared" si="1"/>
        <v>0</v>
      </c>
      <c r="Q32" s="135">
        <f t="shared" si="2"/>
        <v>0</v>
      </c>
      <c r="R32" s="135">
        <f t="shared" si="3"/>
        <v>1</v>
      </c>
      <c r="S32" s="135">
        <f t="shared" si="4"/>
        <v>0</v>
      </c>
      <c r="T32" s="135">
        <f t="shared" si="5"/>
        <v>0</v>
      </c>
    </row>
    <row r="33" spans="1:20" ht="28.2" customHeight="1">
      <c r="A33" s="53" t="str">
        <f t="shared" si="0"/>
        <v>1</v>
      </c>
      <c r="B33" s="51" t="s">
        <v>75</v>
      </c>
      <c r="C33" s="51" t="s">
        <v>355</v>
      </c>
      <c r="D33" s="55" t="s">
        <v>356</v>
      </c>
      <c r="E33" s="290" t="s">
        <v>113</v>
      </c>
      <c r="F33" s="50" t="s">
        <v>95</v>
      </c>
      <c r="G33" s="95"/>
      <c r="H33" s="317"/>
      <c r="I33" s="80" t="str">
        <f t="shared" si="11"/>
        <v>---</v>
      </c>
      <c r="J33" s="80" t="str">
        <f t="shared" si="12"/>
        <v>---</v>
      </c>
      <c r="K33" s="50" t="str">
        <f t="shared" si="13"/>
        <v>---</v>
      </c>
      <c r="L33" s="81" t="str">
        <f t="shared" si="14"/>
        <v>---</v>
      </c>
      <c r="M33" s="42" t="str">
        <f t="shared" si="15"/>
        <v>offen</v>
      </c>
      <c r="N33" s="50"/>
      <c r="P33" s="135">
        <f t="shared" si="1"/>
        <v>1</v>
      </c>
      <c r="Q33" s="135">
        <f t="shared" si="2"/>
        <v>0</v>
      </c>
      <c r="R33" s="135">
        <f t="shared" si="3"/>
        <v>0</v>
      </c>
      <c r="S33" s="135">
        <f t="shared" si="4"/>
        <v>0</v>
      </c>
      <c r="T33" s="135">
        <f t="shared" si="5"/>
        <v>0</v>
      </c>
    </row>
    <row r="34" spans="1:20">
      <c r="A34" s="53" t="str">
        <f t="shared" si="0"/>
        <v>1</v>
      </c>
      <c r="B34" s="51" t="s">
        <v>75</v>
      </c>
      <c r="C34" s="51" t="s">
        <v>357</v>
      </c>
      <c r="D34" s="55" t="s">
        <v>358</v>
      </c>
      <c r="E34" s="290" t="s">
        <v>113</v>
      </c>
      <c r="F34" s="50" t="s">
        <v>95</v>
      </c>
      <c r="G34" s="95"/>
      <c r="H34" s="317"/>
      <c r="I34" s="80" t="str">
        <f t="shared" si="11"/>
        <v>---</v>
      </c>
      <c r="J34" s="80" t="str">
        <f t="shared" si="12"/>
        <v>---</v>
      </c>
      <c r="K34" s="50" t="str">
        <f t="shared" si="13"/>
        <v>---</v>
      </c>
      <c r="L34" s="81" t="str">
        <f t="shared" si="14"/>
        <v>---</v>
      </c>
      <c r="M34" s="42" t="str">
        <f t="shared" si="15"/>
        <v>offen</v>
      </c>
      <c r="N34" s="50"/>
      <c r="P34" s="135">
        <f t="shared" si="1"/>
        <v>1</v>
      </c>
      <c r="Q34" s="135">
        <f t="shared" si="2"/>
        <v>0</v>
      </c>
      <c r="R34" s="135">
        <f t="shared" si="3"/>
        <v>0</v>
      </c>
      <c r="S34" s="135">
        <f t="shared" si="4"/>
        <v>0</v>
      </c>
      <c r="T34" s="135">
        <f t="shared" si="5"/>
        <v>0</v>
      </c>
    </row>
    <row r="35" spans="1:20" ht="26.4">
      <c r="A35" s="53" t="str">
        <f t="shared" si="0"/>
        <v>1</v>
      </c>
      <c r="B35" s="51" t="s">
        <v>94</v>
      </c>
      <c r="C35" s="51" t="s">
        <v>359</v>
      </c>
      <c r="D35" s="55" t="s">
        <v>360</v>
      </c>
      <c r="E35" s="290" t="s">
        <v>113</v>
      </c>
      <c r="F35" s="50" t="s">
        <v>95</v>
      </c>
      <c r="G35" s="95"/>
      <c r="H35" s="317"/>
      <c r="I35" s="80">
        <f t="shared" si="11"/>
        <v>1</v>
      </c>
      <c r="J35" s="80">
        <f t="shared" si="12"/>
        <v>1</v>
      </c>
      <c r="K35" s="50">
        <f t="shared" si="13"/>
        <v>0</v>
      </c>
      <c r="L35" s="81">
        <f t="shared" si="14"/>
        <v>0</v>
      </c>
      <c r="M35" s="42" t="str">
        <f t="shared" si="15"/>
        <v>offen</v>
      </c>
      <c r="N35" s="50"/>
      <c r="O35" s="44">
        <v>1</v>
      </c>
      <c r="P35" s="135">
        <f t="shared" si="1"/>
        <v>0</v>
      </c>
      <c r="Q35" s="135">
        <f t="shared" si="2"/>
        <v>0</v>
      </c>
      <c r="R35" s="135">
        <f t="shared" si="3"/>
        <v>1</v>
      </c>
      <c r="S35" s="135">
        <f t="shared" si="4"/>
        <v>0</v>
      </c>
      <c r="T35" s="135">
        <f t="shared" si="5"/>
        <v>0</v>
      </c>
    </row>
    <row r="36" spans="1:20">
      <c r="A36" s="334" t="str">
        <f t="shared" si="0"/>
        <v/>
      </c>
      <c r="B36" s="51"/>
      <c r="C36" s="51"/>
      <c r="D36" s="55"/>
      <c r="E36" s="290"/>
      <c r="F36" s="50"/>
      <c r="G36" s="50"/>
      <c r="H36" s="50"/>
      <c r="I36" s="50" t="str">
        <f t="shared" si="11"/>
        <v/>
      </c>
      <c r="J36" s="50" t="str">
        <f t="shared" si="12"/>
        <v/>
      </c>
      <c r="K36" s="50" t="str">
        <f t="shared" si="13"/>
        <v/>
      </c>
      <c r="L36" s="50" t="str">
        <f t="shared" si="14"/>
        <v/>
      </c>
      <c r="M36" s="50" t="str">
        <f t="shared" si="15"/>
        <v/>
      </c>
      <c r="N36" s="50"/>
      <c r="O36" s="50"/>
      <c r="P36" s="135">
        <f t="shared" si="1"/>
        <v>0</v>
      </c>
      <c r="Q36" s="135">
        <f t="shared" si="2"/>
        <v>0</v>
      </c>
      <c r="R36" s="135">
        <f t="shared" si="3"/>
        <v>0</v>
      </c>
      <c r="S36" s="135">
        <f t="shared" si="4"/>
        <v>0</v>
      </c>
      <c r="T36" s="135">
        <f t="shared" si="5"/>
        <v>0</v>
      </c>
    </row>
    <row r="37" spans="1:20">
      <c r="A37" s="53" t="str">
        <f t="shared" si="0"/>
        <v>1</v>
      </c>
      <c r="B37" s="51" t="s">
        <v>153</v>
      </c>
      <c r="C37" s="149" t="s">
        <v>361</v>
      </c>
      <c r="D37" s="55" t="s">
        <v>362</v>
      </c>
      <c r="E37" s="290"/>
      <c r="F37" s="50"/>
      <c r="G37" s="95"/>
      <c r="H37" s="50"/>
      <c r="I37" s="50" t="str">
        <f t="shared" si="11"/>
        <v/>
      </c>
      <c r="J37" s="50" t="str">
        <f t="shared" si="12"/>
        <v/>
      </c>
      <c r="K37" s="50" t="str">
        <f t="shared" si="13"/>
        <v/>
      </c>
      <c r="L37" s="50" t="str">
        <f t="shared" si="14"/>
        <v/>
      </c>
      <c r="M37" s="50" t="str">
        <f t="shared" si="15"/>
        <v/>
      </c>
      <c r="N37" s="50"/>
      <c r="O37" s="50"/>
      <c r="P37" s="135">
        <f t="shared" si="1"/>
        <v>0</v>
      </c>
      <c r="Q37" s="135">
        <f t="shared" si="2"/>
        <v>0</v>
      </c>
      <c r="R37" s="135">
        <f t="shared" si="3"/>
        <v>0</v>
      </c>
      <c r="S37" s="135">
        <f t="shared" si="4"/>
        <v>0</v>
      </c>
      <c r="T37" s="135">
        <f t="shared" si="5"/>
        <v>0</v>
      </c>
    </row>
    <row r="38" spans="1:20">
      <c r="A38" s="53" t="str">
        <f t="shared" si="0"/>
        <v>1</v>
      </c>
      <c r="B38" s="51" t="s">
        <v>94</v>
      </c>
      <c r="C38" s="51" t="s">
        <v>363</v>
      </c>
      <c r="D38" s="55" t="s">
        <v>364</v>
      </c>
      <c r="E38" s="50" t="s">
        <v>113</v>
      </c>
      <c r="F38" s="50" t="s">
        <v>95</v>
      </c>
      <c r="G38" s="95"/>
      <c r="H38" s="317"/>
      <c r="I38" s="80">
        <f t="shared" si="11"/>
        <v>1</v>
      </c>
      <c r="J38" s="80">
        <f t="shared" si="12"/>
        <v>1</v>
      </c>
      <c r="K38" s="50">
        <f t="shared" si="13"/>
        <v>0</v>
      </c>
      <c r="L38" s="81">
        <f t="shared" si="14"/>
        <v>0</v>
      </c>
      <c r="M38" s="42" t="str">
        <f t="shared" si="15"/>
        <v>offen</v>
      </c>
      <c r="N38" s="50"/>
      <c r="O38" s="44">
        <v>1</v>
      </c>
      <c r="P38" s="135">
        <f t="shared" si="1"/>
        <v>0</v>
      </c>
      <c r="Q38" s="135">
        <f t="shared" si="2"/>
        <v>0</v>
      </c>
      <c r="R38" s="135">
        <f t="shared" si="3"/>
        <v>1</v>
      </c>
      <c r="S38" s="135">
        <f t="shared" si="4"/>
        <v>0</v>
      </c>
      <c r="T38" s="135">
        <f t="shared" si="5"/>
        <v>0</v>
      </c>
    </row>
    <row r="39" spans="1:20">
      <c r="A39" s="53" t="str">
        <f t="shared" ref="A39:A95" si="16">IF(D39="","","1")</f>
        <v>1</v>
      </c>
      <c r="B39" s="51" t="s">
        <v>94</v>
      </c>
      <c r="C39" s="51" t="s">
        <v>365</v>
      </c>
      <c r="D39" s="55" t="s">
        <v>366</v>
      </c>
      <c r="E39" s="50" t="s">
        <v>113</v>
      </c>
      <c r="F39" s="50" t="s">
        <v>95</v>
      </c>
      <c r="G39" s="95"/>
      <c r="H39" s="317"/>
      <c r="I39" s="80">
        <f t="shared" si="11"/>
        <v>1</v>
      </c>
      <c r="J39" s="80">
        <f t="shared" si="12"/>
        <v>1</v>
      </c>
      <c r="K39" s="50">
        <f t="shared" si="13"/>
        <v>0</v>
      </c>
      <c r="L39" s="81">
        <f t="shared" si="14"/>
        <v>0</v>
      </c>
      <c r="M39" s="42" t="str">
        <f t="shared" si="15"/>
        <v>offen</v>
      </c>
      <c r="N39" s="50"/>
      <c r="O39" s="44">
        <v>1</v>
      </c>
      <c r="P39" s="135">
        <f t="shared" si="1"/>
        <v>0</v>
      </c>
      <c r="Q39" s="135">
        <f t="shared" si="2"/>
        <v>0</v>
      </c>
      <c r="R39" s="135">
        <f t="shared" si="3"/>
        <v>1</v>
      </c>
      <c r="S39" s="135">
        <f t="shared" si="4"/>
        <v>0</v>
      </c>
      <c r="T39" s="135">
        <f t="shared" si="5"/>
        <v>0</v>
      </c>
    </row>
    <row r="40" spans="1:20">
      <c r="A40" s="53" t="str">
        <f t="shared" si="16"/>
        <v>1</v>
      </c>
      <c r="B40" s="32"/>
      <c r="C40" s="51"/>
      <c r="D40" s="75" t="s">
        <v>367</v>
      </c>
      <c r="E40" s="50"/>
      <c r="F40" s="50"/>
      <c r="G40" s="290"/>
      <c r="H40" s="290"/>
      <c r="I40" s="290" t="str">
        <f t="shared" si="11"/>
        <v/>
      </c>
      <c r="J40" s="290" t="str">
        <f t="shared" si="12"/>
        <v/>
      </c>
      <c r="K40" s="290" t="str">
        <f t="shared" si="13"/>
        <v/>
      </c>
      <c r="L40" s="290" t="str">
        <f t="shared" si="14"/>
        <v/>
      </c>
      <c r="M40" s="290" t="str">
        <f t="shared" si="15"/>
        <v/>
      </c>
      <c r="N40" s="290"/>
      <c r="O40" s="290"/>
      <c r="P40" s="135">
        <f t="shared" si="1"/>
        <v>0</v>
      </c>
      <c r="Q40" s="135">
        <f t="shared" si="2"/>
        <v>0</v>
      </c>
      <c r="R40" s="135">
        <f t="shared" si="3"/>
        <v>0</v>
      </c>
      <c r="S40" s="135">
        <f t="shared" si="4"/>
        <v>0</v>
      </c>
      <c r="T40" s="135">
        <f t="shared" si="5"/>
        <v>0</v>
      </c>
    </row>
    <row r="41" spans="1:20">
      <c r="A41" s="53" t="str">
        <f t="shared" si="16"/>
        <v>1</v>
      </c>
      <c r="B41" s="51" t="s">
        <v>94</v>
      </c>
      <c r="C41" s="320" t="s">
        <v>368</v>
      </c>
      <c r="D41" s="267" t="s">
        <v>369</v>
      </c>
      <c r="E41" s="50" t="s">
        <v>113</v>
      </c>
      <c r="F41" s="50" t="s">
        <v>95</v>
      </c>
      <c r="G41" s="95"/>
      <c r="H41" s="317"/>
      <c r="I41" s="80">
        <f t="shared" si="11"/>
        <v>1</v>
      </c>
      <c r="J41" s="80">
        <f t="shared" si="12"/>
        <v>1</v>
      </c>
      <c r="K41" s="50">
        <f t="shared" si="13"/>
        <v>0</v>
      </c>
      <c r="L41" s="81">
        <f t="shared" si="14"/>
        <v>0</v>
      </c>
      <c r="M41" s="42" t="str">
        <f t="shared" si="15"/>
        <v>offen</v>
      </c>
      <c r="N41" s="50"/>
      <c r="O41" s="44">
        <v>1</v>
      </c>
      <c r="P41" s="135">
        <f t="shared" si="1"/>
        <v>0</v>
      </c>
      <c r="Q41" s="135">
        <f t="shared" si="2"/>
        <v>0</v>
      </c>
      <c r="R41" s="135">
        <f t="shared" si="3"/>
        <v>1</v>
      </c>
      <c r="S41" s="135">
        <f t="shared" si="4"/>
        <v>0</v>
      </c>
      <c r="T41" s="135">
        <f t="shared" si="5"/>
        <v>0</v>
      </c>
    </row>
    <row r="42" spans="1:20">
      <c r="A42" s="53" t="str">
        <f t="shared" si="16"/>
        <v>1</v>
      </c>
      <c r="B42" s="51" t="s">
        <v>94</v>
      </c>
      <c r="C42" s="320" t="s">
        <v>370</v>
      </c>
      <c r="D42" s="267" t="s">
        <v>371</v>
      </c>
      <c r="E42" s="50" t="s">
        <v>113</v>
      </c>
      <c r="F42" s="50" t="s">
        <v>95</v>
      </c>
      <c r="G42" s="95"/>
      <c r="H42" s="317"/>
      <c r="I42" s="80">
        <f t="shared" si="11"/>
        <v>1</v>
      </c>
      <c r="J42" s="80">
        <f t="shared" si="12"/>
        <v>1</v>
      </c>
      <c r="K42" s="50">
        <f t="shared" si="13"/>
        <v>0</v>
      </c>
      <c r="L42" s="81">
        <f t="shared" si="14"/>
        <v>0</v>
      </c>
      <c r="M42" s="42" t="str">
        <f t="shared" si="15"/>
        <v>offen</v>
      </c>
      <c r="N42" s="50"/>
      <c r="O42" s="44">
        <v>1</v>
      </c>
      <c r="P42" s="135">
        <f t="shared" si="1"/>
        <v>0</v>
      </c>
      <c r="Q42" s="135">
        <f t="shared" si="2"/>
        <v>0</v>
      </c>
      <c r="R42" s="135">
        <f t="shared" si="3"/>
        <v>1</v>
      </c>
      <c r="S42" s="135">
        <f t="shared" si="4"/>
        <v>0</v>
      </c>
      <c r="T42" s="135">
        <f t="shared" si="5"/>
        <v>0</v>
      </c>
    </row>
    <row r="43" spans="1:20">
      <c r="A43" s="53" t="str">
        <f t="shared" si="16"/>
        <v>1</v>
      </c>
      <c r="B43" s="51" t="s">
        <v>94</v>
      </c>
      <c r="C43" s="320" t="s">
        <v>372</v>
      </c>
      <c r="D43" s="267" t="s">
        <v>373</v>
      </c>
      <c r="E43" s="50" t="s">
        <v>113</v>
      </c>
      <c r="F43" s="50" t="s">
        <v>95</v>
      </c>
      <c r="G43" s="95"/>
      <c r="H43" s="317"/>
      <c r="I43" s="80">
        <f t="shared" si="11"/>
        <v>1</v>
      </c>
      <c r="J43" s="80">
        <f t="shared" si="12"/>
        <v>1</v>
      </c>
      <c r="K43" s="50">
        <f t="shared" si="13"/>
        <v>0</v>
      </c>
      <c r="L43" s="81">
        <f t="shared" si="14"/>
        <v>0</v>
      </c>
      <c r="M43" s="42" t="str">
        <f t="shared" si="15"/>
        <v>offen</v>
      </c>
      <c r="N43" s="50"/>
      <c r="O43" s="44">
        <v>1</v>
      </c>
      <c r="P43" s="135">
        <f t="shared" si="1"/>
        <v>0</v>
      </c>
      <c r="Q43" s="135">
        <f t="shared" si="2"/>
        <v>0</v>
      </c>
      <c r="R43" s="135">
        <f t="shared" si="3"/>
        <v>1</v>
      </c>
      <c r="S43" s="135">
        <f t="shared" si="4"/>
        <v>0</v>
      </c>
      <c r="T43" s="135">
        <f t="shared" si="5"/>
        <v>0</v>
      </c>
    </row>
    <row r="44" spans="1:20">
      <c r="A44" s="53" t="str">
        <f t="shared" si="16"/>
        <v>1</v>
      </c>
      <c r="B44" s="51" t="s">
        <v>94</v>
      </c>
      <c r="C44" s="320" t="s">
        <v>374</v>
      </c>
      <c r="D44" s="267" t="s">
        <v>375</v>
      </c>
      <c r="E44" s="50" t="s">
        <v>113</v>
      </c>
      <c r="F44" s="50" t="s">
        <v>95</v>
      </c>
      <c r="G44" s="95"/>
      <c r="H44" s="317"/>
      <c r="I44" s="80">
        <f t="shared" si="11"/>
        <v>1</v>
      </c>
      <c r="J44" s="80">
        <f t="shared" si="12"/>
        <v>1</v>
      </c>
      <c r="K44" s="50">
        <f t="shared" si="13"/>
        <v>0</v>
      </c>
      <c r="L44" s="81">
        <f t="shared" si="14"/>
        <v>0</v>
      </c>
      <c r="M44" s="42" t="str">
        <f t="shared" si="15"/>
        <v>offen</v>
      </c>
      <c r="N44" s="50"/>
      <c r="O44" s="44">
        <v>1</v>
      </c>
      <c r="P44" s="135">
        <f t="shared" si="1"/>
        <v>0</v>
      </c>
      <c r="Q44" s="135">
        <f t="shared" si="2"/>
        <v>0</v>
      </c>
      <c r="R44" s="135">
        <f t="shared" si="3"/>
        <v>1</v>
      </c>
      <c r="S44" s="135">
        <f t="shared" si="4"/>
        <v>0</v>
      </c>
      <c r="T44" s="135">
        <f t="shared" si="5"/>
        <v>0</v>
      </c>
    </row>
    <row r="45" spans="1:20">
      <c r="A45" s="53" t="str">
        <f t="shared" si="16"/>
        <v>1</v>
      </c>
      <c r="B45" s="51" t="s">
        <v>94</v>
      </c>
      <c r="C45" s="320" t="s">
        <v>376</v>
      </c>
      <c r="D45" s="267" t="s">
        <v>377</v>
      </c>
      <c r="E45" s="50" t="s">
        <v>113</v>
      </c>
      <c r="F45" s="50" t="s">
        <v>95</v>
      </c>
      <c r="G45" s="95"/>
      <c r="H45" s="317"/>
      <c r="I45" s="80">
        <f t="shared" si="11"/>
        <v>1</v>
      </c>
      <c r="J45" s="80">
        <f t="shared" si="12"/>
        <v>1</v>
      </c>
      <c r="K45" s="50">
        <f t="shared" si="13"/>
        <v>0</v>
      </c>
      <c r="L45" s="81">
        <f t="shared" si="14"/>
        <v>0</v>
      </c>
      <c r="M45" s="42" t="str">
        <f t="shared" si="15"/>
        <v>offen</v>
      </c>
      <c r="N45" s="50"/>
      <c r="O45" s="44">
        <v>1</v>
      </c>
      <c r="P45" s="135">
        <f t="shared" si="1"/>
        <v>0</v>
      </c>
      <c r="Q45" s="135">
        <f t="shared" si="2"/>
        <v>0</v>
      </c>
      <c r="R45" s="135">
        <f t="shared" si="3"/>
        <v>1</v>
      </c>
      <c r="S45" s="135">
        <f t="shared" si="4"/>
        <v>0</v>
      </c>
      <c r="T45" s="135">
        <f t="shared" si="5"/>
        <v>0</v>
      </c>
    </row>
    <row r="46" spans="1:20">
      <c r="A46" s="53" t="str">
        <f t="shared" si="16"/>
        <v>1</v>
      </c>
      <c r="B46" s="51" t="s">
        <v>94</v>
      </c>
      <c r="C46" s="320" t="s">
        <v>378</v>
      </c>
      <c r="D46" s="267" t="s">
        <v>379</v>
      </c>
      <c r="E46" s="50" t="s">
        <v>113</v>
      </c>
      <c r="F46" s="50" t="s">
        <v>95</v>
      </c>
      <c r="G46" s="95"/>
      <c r="H46" s="317"/>
      <c r="I46" s="80">
        <f t="shared" si="11"/>
        <v>1</v>
      </c>
      <c r="J46" s="80">
        <f t="shared" si="12"/>
        <v>1</v>
      </c>
      <c r="K46" s="50">
        <f t="shared" si="13"/>
        <v>0</v>
      </c>
      <c r="L46" s="81">
        <f t="shared" si="14"/>
        <v>0</v>
      </c>
      <c r="M46" s="42" t="str">
        <f t="shared" si="15"/>
        <v>offen</v>
      </c>
      <c r="N46" s="50"/>
      <c r="O46" s="44">
        <v>1</v>
      </c>
      <c r="P46" s="135">
        <f t="shared" si="1"/>
        <v>0</v>
      </c>
      <c r="Q46" s="135">
        <f t="shared" si="2"/>
        <v>0</v>
      </c>
      <c r="R46" s="135">
        <f t="shared" si="3"/>
        <v>1</v>
      </c>
      <c r="S46" s="135">
        <f t="shared" si="4"/>
        <v>0</v>
      </c>
      <c r="T46" s="135">
        <f t="shared" si="5"/>
        <v>0</v>
      </c>
    </row>
    <row r="47" spans="1:20" ht="26.4">
      <c r="A47" s="53" t="str">
        <f t="shared" si="16"/>
        <v>1</v>
      </c>
      <c r="B47" s="51" t="s">
        <v>94</v>
      </c>
      <c r="C47" s="320" t="s">
        <v>380</v>
      </c>
      <c r="D47" s="55" t="s">
        <v>381</v>
      </c>
      <c r="E47" s="50" t="s">
        <v>113</v>
      </c>
      <c r="F47" s="50" t="s">
        <v>95</v>
      </c>
      <c r="G47" s="95"/>
      <c r="H47" s="317"/>
      <c r="I47" s="80">
        <f t="shared" si="11"/>
        <v>1</v>
      </c>
      <c r="J47" s="80">
        <f t="shared" si="12"/>
        <v>1</v>
      </c>
      <c r="K47" s="50">
        <f t="shared" si="13"/>
        <v>0</v>
      </c>
      <c r="L47" s="81">
        <f t="shared" si="14"/>
        <v>0</v>
      </c>
      <c r="M47" s="42" t="str">
        <f t="shared" si="15"/>
        <v>offen</v>
      </c>
      <c r="N47" s="50"/>
      <c r="O47" s="44">
        <v>1</v>
      </c>
      <c r="P47" s="135">
        <f t="shared" si="1"/>
        <v>0</v>
      </c>
      <c r="Q47" s="135">
        <f t="shared" si="2"/>
        <v>0</v>
      </c>
      <c r="R47" s="135">
        <f t="shared" si="3"/>
        <v>1</v>
      </c>
      <c r="S47" s="135">
        <f t="shared" si="4"/>
        <v>0</v>
      </c>
      <c r="T47" s="135">
        <f t="shared" si="5"/>
        <v>0</v>
      </c>
    </row>
    <row r="48" spans="1:20" ht="40.950000000000003" customHeight="1">
      <c r="A48" s="53" t="str">
        <f t="shared" si="16"/>
        <v>1</v>
      </c>
      <c r="B48" s="51" t="s">
        <v>94</v>
      </c>
      <c r="C48" s="320" t="s">
        <v>382</v>
      </c>
      <c r="D48" s="55" t="s">
        <v>383</v>
      </c>
      <c r="E48" s="50" t="s">
        <v>113</v>
      </c>
      <c r="F48" s="50" t="s">
        <v>95</v>
      </c>
      <c r="G48" s="95"/>
      <c r="H48" s="317"/>
      <c r="I48" s="80">
        <f t="shared" si="11"/>
        <v>1</v>
      </c>
      <c r="J48" s="80">
        <f t="shared" si="12"/>
        <v>1</v>
      </c>
      <c r="K48" s="50">
        <f t="shared" si="13"/>
        <v>0</v>
      </c>
      <c r="L48" s="81">
        <f t="shared" si="14"/>
        <v>0</v>
      </c>
      <c r="M48" s="42" t="str">
        <f t="shared" si="15"/>
        <v>offen</v>
      </c>
      <c r="N48" s="50"/>
      <c r="O48" s="44">
        <v>1</v>
      </c>
      <c r="P48" s="135">
        <f t="shared" si="1"/>
        <v>0</v>
      </c>
      <c r="Q48" s="135">
        <f t="shared" si="2"/>
        <v>0</v>
      </c>
      <c r="R48" s="135">
        <f t="shared" si="3"/>
        <v>1</v>
      </c>
      <c r="S48" s="135">
        <f t="shared" si="4"/>
        <v>0</v>
      </c>
      <c r="T48" s="135">
        <f t="shared" si="5"/>
        <v>0</v>
      </c>
    </row>
    <row r="49" spans="1:20">
      <c r="A49" s="53" t="str">
        <f t="shared" si="16"/>
        <v>1</v>
      </c>
      <c r="B49" s="51" t="s">
        <v>94</v>
      </c>
      <c r="C49" s="320" t="s">
        <v>384</v>
      </c>
      <c r="D49" s="55" t="s">
        <v>385</v>
      </c>
      <c r="E49" s="50" t="s">
        <v>113</v>
      </c>
      <c r="F49" s="50" t="s">
        <v>95</v>
      </c>
      <c r="G49" s="95"/>
      <c r="H49" s="317"/>
      <c r="I49" s="80">
        <f t="shared" si="11"/>
        <v>1</v>
      </c>
      <c r="J49" s="80">
        <f t="shared" si="12"/>
        <v>1</v>
      </c>
      <c r="K49" s="50">
        <f t="shared" si="13"/>
        <v>0</v>
      </c>
      <c r="L49" s="81">
        <f t="shared" si="14"/>
        <v>0</v>
      </c>
      <c r="M49" s="42" t="str">
        <f t="shared" si="15"/>
        <v>offen</v>
      </c>
      <c r="N49" s="50"/>
      <c r="O49" s="44">
        <v>1</v>
      </c>
      <c r="P49" s="135">
        <f t="shared" si="1"/>
        <v>0</v>
      </c>
      <c r="Q49" s="135">
        <f t="shared" si="2"/>
        <v>0</v>
      </c>
      <c r="R49" s="135">
        <f t="shared" si="3"/>
        <v>1</v>
      </c>
      <c r="S49" s="135">
        <f t="shared" si="4"/>
        <v>0</v>
      </c>
      <c r="T49" s="135">
        <f t="shared" si="5"/>
        <v>0</v>
      </c>
    </row>
    <row r="50" spans="1:20" ht="26.4">
      <c r="A50" s="53" t="str">
        <f t="shared" si="16"/>
        <v>1</v>
      </c>
      <c r="B50" s="51" t="s">
        <v>94</v>
      </c>
      <c r="C50" s="320" t="s">
        <v>386</v>
      </c>
      <c r="D50" s="55" t="s">
        <v>387</v>
      </c>
      <c r="E50" s="50" t="s">
        <v>113</v>
      </c>
      <c r="F50" s="50" t="s">
        <v>95</v>
      </c>
      <c r="G50" s="95"/>
      <c r="H50" s="317"/>
      <c r="I50" s="80">
        <f t="shared" si="11"/>
        <v>1</v>
      </c>
      <c r="J50" s="80">
        <f t="shared" si="12"/>
        <v>1</v>
      </c>
      <c r="K50" s="50">
        <f t="shared" si="13"/>
        <v>0</v>
      </c>
      <c r="L50" s="81">
        <f t="shared" si="14"/>
        <v>0</v>
      </c>
      <c r="M50" s="42" t="str">
        <f t="shared" si="15"/>
        <v>offen</v>
      </c>
      <c r="N50" s="50"/>
      <c r="O50" s="44">
        <v>1</v>
      </c>
      <c r="P50" s="135">
        <f t="shared" si="1"/>
        <v>0</v>
      </c>
      <c r="Q50" s="135">
        <f t="shared" si="2"/>
        <v>0</v>
      </c>
      <c r="R50" s="135">
        <f t="shared" si="3"/>
        <v>1</v>
      </c>
      <c r="S50" s="135">
        <f t="shared" si="4"/>
        <v>0</v>
      </c>
      <c r="T50" s="135">
        <f t="shared" si="5"/>
        <v>0</v>
      </c>
    </row>
    <row r="51" spans="1:20">
      <c r="A51" s="53" t="str">
        <f t="shared" si="16"/>
        <v>1</v>
      </c>
      <c r="B51" s="51" t="s">
        <v>94</v>
      </c>
      <c r="C51" s="320" t="s">
        <v>388</v>
      </c>
      <c r="D51" s="55" t="s">
        <v>389</v>
      </c>
      <c r="E51" s="50" t="s">
        <v>113</v>
      </c>
      <c r="F51" s="50" t="s">
        <v>95</v>
      </c>
      <c r="G51" s="95"/>
      <c r="H51" s="317"/>
      <c r="I51" s="80">
        <f t="shared" si="11"/>
        <v>1</v>
      </c>
      <c r="J51" s="80">
        <f t="shared" si="12"/>
        <v>1</v>
      </c>
      <c r="K51" s="50">
        <f t="shared" si="13"/>
        <v>0</v>
      </c>
      <c r="L51" s="81">
        <f t="shared" si="14"/>
        <v>0</v>
      </c>
      <c r="M51" s="42" t="str">
        <f t="shared" si="15"/>
        <v>offen</v>
      </c>
      <c r="N51" s="50"/>
      <c r="O51" s="44">
        <v>1</v>
      </c>
      <c r="P51" s="135">
        <f t="shared" si="1"/>
        <v>0</v>
      </c>
      <c r="Q51" s="135">
        <f t="shared" si="2"/>
        <v>0</v>
      </c>
      <c r="R51" s="135">
        <f t="shared" si="3"/>
        <v>1</v>
      </c>
      <c r="S51" s="135">
        <f t="shared" si="4"/>
        <v>0</v>
      </c>
      <c r="T51" s="135">
        <f t="shared" si="5"/>
        <v>0</v>
      </c>
    </row>
    <row r="52" spans="1:20">
      <c r="A52" s="334" t="str">
        <f t="shared" si="16"/>
        <v/>
      </c>
      <c r="B52" s="51"/>
      <c r="C52" s="150"/>
      <c r="D52" s="55"/>
      <c r="E52" s="50"/>
      <c r="F52" s="50"/>
      <c r="G52" s="50"/>
      <c r="H52" s="50"/>
      <c r="I52" s="50" t="str">
        <f t="shared" si="11"/>
        <v/>
      </c>
      <c r="J52" s="50" t="str">
        <f t="shared" si="12"/>
        <v/>
      </c>
      <c r="K52" s="50" t="str">
        <f t="shared" si="13"/>
        <v/>
      </c>
      <c r="L52" s="50" t="str">
        <f t="shared" si="14"/>
        <v/>
      </c>
      <c r="M52" s="50" t="str">
        <f t="shared" si="15"/>
        <v/>
      </c>
      <c r="N52" s="50"/>
      <c r="O52" s="50"/>
      <c r="P52" s="135">
        <f t="shared" si="1"/>
        <v>0</v>
      </c>
      <c r="Q52" s="135">
        <f t="shared" si="2"/>
        <v>0</v>
      </c>
      <c r="R52" s="135">
        <f t="shared" si="3"/>
        <v>0</v>
      </c>
      <c r="S52" s="135">
        <f t="shared" si="4"/>
        <v>0</v>
      </c>
      <c r="T52" s="135">
        <f t="shared" si="5"/>
        <v>0</v>
      </c>
    </row>
    <row r="53" spans="1:20">
      <c r="A53" s="334" t="str">
        <f t="shared" si="16"/>
        <v>1</v>
      </c>
      <c r="B53" s="51"/>
      <c r="C53" s="333" t="s">
        <v>390</v>
      </c>
      <c r="D53" s="55" t="s">
        <v>391</v>
      </c>
      <c r="E53" s="50"/>
      <c r="F53" s="50"/>
      <c r="G53" s="95"/>
      <c r="H53" s="317"/>
      <c r="I53" s="80" t="str">
        <f t="shared" si="11"/>
        <v/>
      </c>
      <c r="J53" s="80" t="str">
        <f t="shared" si="12"/>
        <v/>
      </c>
      <c r="K53" s="50" t="str">
        <f t="shared" si="13"/>
        <v/>
      </c>
      <c r="L53" s="81" t="str">
        <f t="shared" si="14"/>
        <v/>
      </c>
      <c r="M53" s="42" t="str">
        <f t="shared" si="15"/>
        <v/>
      </c>
      <c r="N53" s="50"/>
      <c r="P53" s="135">
        <f t="shared" si="1"/>
        <v>0</v>
      </c>
      <c r="Q53" s="135">
        <f t="shared" si="2"/>
        <v>0</v>
      </c>
      <c r="R53" s="135">
        <f t="shared" si="3"/>
        <v>0</v>
      </c>
      <c r="S53" s="135">
        <f t="shared" si="4"/>
        <v>0</v>
      </c>
      <c r="T53" s="135">
        <f t="shared" si="5"/>
        <v>0</v>
      </c>
    </row>
    <row r="54" spans="1:20">
      <c r="A54" s="334" t="str">
        <f t="shared" si="16"/>
        <v>1</v>
      </c>
      <c r="B54" s="51" t="s">
        <v>94</v>
      </c>
      <c r="C54" s="150" t="s">
        <v>392</v>
      </c>
      <c r="D54" s="55" t="s">
        <v>393</v>
      </c>
      <c r="E54" s="50" t="s">
        <v>113</v>
      </c>
      <c r="F54" s="50" t="s">
        <v>95</v>
      </c>
      <c r="G54" s="95"/>
      <c r="H54" s="317"/>
      <c r="I54" s="80">
        <f t="shared" ref="I54:I77" si="17">IF(B54="","",IF(B54="B-Kriterium",1,"---"))</f>
        <v>1</v>
      </c>
      <c r="J54" s="80">
        <f t="shared" ref="J54:J77" si="18">IF(B54="","",IF(B54="A-Kriterium","---",O54))</f>
        <v>1</v>
      </c>
      <c r="K54" s="50">
        <f t="shared" ref="K54:K77" si="19">IF($B54="A-Kriterium","---",IF(B54="","",IF(AND(B54="B-Kriterium",G54="ja"),J54,0)))</f>
        <v>0</v>
      </c>
      <c r="L54" s="81">
        <f t="shared" ref="L54:L77" si="20">IF(B54="A-Kriterium","---",IF(B54="","",I54*K54))</f>
        <v>0</v>
      </c>
      <c r="M54" s="42" t="str">
        <f t="shared" ref="M54:M85" si="21">IF(AND(ISBLANK(G54)=FALSE,B54="B-Kriterium"),"ok",IF($B54="","",IF(AND(B54="A-Kriterium",G54="ja"),"ok",IF(AND(B54="A-Kriterium",G54="nein"),"nok","offen"))))</f>
        <v>offen</v>
      </c>
      <c r="N54" s="50"/>
      <c r="O54" s="44">
        <v>1</v>
      </c>
      <c r="P54" s="135">
        <f t="shared" si="1"/>
        <v>0</v>
      </c>
      <c r="Q54" s="135">
        <f t="shared" si="2"/>
        <v>0</v>
      </c>
      <c r="R54" s="135">
        <f t="shared" si="3"/>
        <v>1</v>
      </c>
      <c r="S54" s="135">
        <f t="shared" si="4"/>
        <v>0</v>
      </c>
      <c r="T54" s="135">
        <f t="shared" si="5"/>
        <v>0</v>
      </c>
    </row>
    <row r="55" spans="1:20">
      <c r="A55" s="334" t="str">
        <f t="shared" si="16"/>
        <v>1</v>
      </c>
      <c r="B55" s="51" t="s">
        <v>94</v>
      </c>
      <c r="C55" s="150" t="s">
        <v>394</v>
      </c>
      <c r="D55" s="55" t="s">
        <v>395</v>
      </c>
      <c r="E55" s="50" t="s">
        <v>113</v>
      </c>
      <c r="F55" s="50" t="s">
        <v>95</v>
      </c>
      <c r="G55" s="95"/>
      <c r="H55" s="317"/>
      <c r="I55" s="80">
        <f t="shared" si="17"/>
        <v>1</v>
      </c>
      <c r="J55" s="80">
        <f t="shared" si="18"/>
        <v>1</v>
      </c>
      <c r="K55" s="50">
        <f t="shared" si="19"/>
        <v>0</v>
      </c>
      <c r="L55" s="81">
        <f t="shared" si="20"/>
        <v>0</v>
      </c>
      <c r="M55" s="42" t="str">
        <f t="shared" si="21"/>
        <v>offen</v>
      </c>
      <c r="N55" s="50"/>
      <c r="O55" s="44">
        <v>1</v>
      </c>
      <c r="P55" s="135">
        <f t="shared" si="1"/>
        <v>0</v>
      </c>
      <c r="Q55" s="135">
        <f t="shared" si="2"/>
        <v>0</v>
      </c>
      <c r="R55" s="135">
        <f t="shared" si="3"/>
        <v>1</v>
      </c>
      <c r="S55" s="135">
        <f t="shared" si="4"/>
        <v>0</v>
      </c>
      <c r="T55" s="135">
        <f t="shared" si="5"/>
        <v>0</v>
      </c>
    </row>
    <row r="56" spans="1:20" ht="26.4">
      <c r="A56" s="334" t="str">
        <f t="shared" si="16"/>
        <v>1</v>
      </c>
      <c r="B56" s="51" t="s">
        <v>94</v>
      </c>
      <c r="C56" s="150" t="s">
        <v>396</v>
      </c>
      <c r="D56" s="55" t="s">
        <v>397</v>
      </c>
      <c r="E56" s="50" t="s">
        <v>113</v>
      </c>
      <c r="F56" s="50" t="s">
        <v>95</v>
      </c>
      <c r="G56" s="95"/>
      <c r="H56" s="317"/>
      <c r="I56" s="80">
        <f t="shared" si="17"/>
        <v>1</v>
      </c>
      <c r="J56" s="80">
        <f t="shared" si="18"/>
        <v>1</v>
      </c>
      <c r="K56" s="50">
        <f t="shared" si="19"/>
        <v>0</v>
      </c>
      <c r="L56" s="81">
        <f t="shared" si="20"/>
        <v>0</v>
      </c>
      <c r="M56" s="42" t="str">
        <f t="shared" si="21"/>
        <v>offen</v>
      </c>
      <c r="N56" s="50"/>
      <c r="O56" s="44">
        <v>1</v>
      </c>
      <c r="P56" s="135">
        <f t="shared" si="1"/>
        <v>0</v>
      </c>
      <c r="Q56" s="135">
        <f t="shared" si="2"/>
        <v>0</v>
      </c>
      <c r="R56" s="135">
        <f t="shared" si="3"/>
        <v>1</v>
      </c>
      <c r="S56" s="135">
        <f t="shared" si="4"/>
        <v>0</v>
      </c>
      <c r="T56" s="135">
        <f t="shared" si="5"/>
        <v>0</v>
      </c>
    </row>
    <row r="57" spans="1:20">
      <c r="A57" s="334" t="str">
        <f t="shared" si="16"/>
        <v>1</v>
      </c>
      <c r="B57" s="51" t="s">
        <v>94</v>
      </c>
      <c r="C57" s="150" t="s">
        <v>398</v>
      </c>
      <c r="D57" s="55" t="s">
        <v>399</v>
      </c>
      <c r="E57" s="50" t="s">
        <v>113</v>
      </c>
      <c r="F57" s="50" t="s">
        <v>95</v>
      </c>
      <c r="G57" s="95"/>
      <c r="H57" s="317"/>
      <c r="I57" s="80">
        <f t="shared" si="17"/>
        <v>1</v>
      </c>
      <c r="J57" s="80">
        <f t="shared" si="18"/>
        <v>1</v>
      </c>
      <c r="K57" s="50">
        <f t="shared" si="19"/>
        <v>0</v>
      </c>
      <c r="L57" s="81">
        <f t="shared" si="20"/>
        <v>0</v>
      </c>
      <c r="M57" s="42" t="str">
        <f t="shared" si="21"/>
        <v>offen</v>
      </c>
      <c r="N57" s="50"/>
      <c r="O57" s="44">
        <v>1</v>
      </c>
      <c r="P57" s="135">
        <f t="shared" si="1"/>
        <v>0</v>
      </c>
      <c r="Q57" s="135">
        <f t="shared" si="2"/>
        <v>0</v>
      </c>
      <c r="R57" s="135">
        <f t="shared" si="3"/>
        <v>1</v>
      </c>
      <c r="S57" s="135">
        <f t="shared" si="4"/>
        <v>0</v>
      </c>
      <c r="T57" s="135">
        <f t="shared" si="5"/>
        <v>0</v>
      </c>
    </row>
    <row r="58" spans="1:20" ht="26.4">
      <c r="A58" s="334" t="str">
        <f t="shared" si="16"/>
        <v>1</v>
      </c>
      <c r="B58" s="51" t="s">
        <v>94</v>
      </c>
      <c r="C58" s="150" t="s">
        <v>400</v>
      </c>
      <c r="D58" s="55" t="s">
        <v>401</v>
      </c>
      <c r="E58" s="50" t="s">
        <v>113</v>
      </c>
      <c r="F58" s="50" t="s">
        <v>95</v>
      </c>
      <c r="G58" s="95"/>
      <c r="H58" s="317"/>
      <c r="I58" s="80">
        <f t="shared" si="17"/>
        <v>1</v>
      </c>
      <c r="J58" s="80">
        <f t="shared" si="18"/>
        <v>1</v>
      </c>
      <c r="K58" s="50">
        <f t="shared" si="19"/>
        <v>0</v>
      </c>
      <c r="L58" s="81">
        <f t="shared" si="20"/>
        <v>0</v>
      </c>
      <c r="M58" s="42" t="str">
        <f t="shared" si="21"/>
        <v>offen</v>
      </c>
      <c r="N58" s="50"/>
      <c r="O58" s="44">
        <v>1</v>
      </c>
      <c r="P58" s="135">
        <f t="shared" si="1"/>
        <v>0</v>
      </c>
      <c r="Q58" s="135">
        <f t="shared" si="2"/>
        <v>0</v>
      </c>
      <c r="R58" s="135">
        <f t="shared" si="3"/>
        <v>1</v>
      </c>
      <c r="S58" s="135">
        <f t="shared" si="4"/>
        <v>0</v>
      </c>
      <c r="T58" s="135">
        <f t="shared" si="5"/>
        <v>0</v>
      </c>
    </row>
    <row r="59" spans="1:20">
      <c r="A59" s="334" t="str">
        <f t="shared" si="16"/>
        <v>1</v>
      </c>
      <c r="B59" s="51" t="s">
        <v>94</v>
      </c>
      <c r="C59" s="150" t="s">
        <v>402</v>
      </c>
      <c r="D59" s="55" t="s">
        <v>403</v>
      </c>
      <c r="E59" s="50" t="s">
        <v>113</v>
      </c>
      <c r="F59" s="50" t="s">
        <v>95</v>
      </c>
      <c r="G59" s="95"/>
      <c r="H59" s="317"/>
      <c r="I59" s="80">
        <f t="shared" si="17"/>
        <v>1</v>
      </c>
      <c r="J59" s="80">
        <f t="shared" si="18"/>
        <v>1</v>
      </c>
      <c r="K59" s="50">
        <f t="shared" si="19"/>
        <v>0</v>
      </c>
      <c r="L59" s="81">
        <f t="shared" si="20"/>
        <v>0</v>
      </c>
      <c r="M59" s="42" t="str">
        <f t="shared" si="21"/>
        <v>offen</v>
      </c>
      <c r="N59" s="50"/>
      <c r="O59" s="44">
        <v>1</v>
      </c>
      <c r="P59" s="135">
        <f t="shared" si="1"/>
        <v>0</v>
      </c>
      <c r="Q59" s="135">
        <f t="shared" si="2"/>
        <v>0</v>
      </c>
      <c r="R59" s="135">
        <f t="shared" si="3"/>
        <v>1</v>
      </c>
      <c r="S59" s="135">
        <f t="shared" si="4"/>
        <v>0</v>
      </c>
      <c r="T59" s="135">
        <f t="shared" si="5"/>
        <v>0</v>
      </c>
    </row>
    <row r="60" spans="1:20">
      <c r="A60" s="334" t="str">
        <f t="shared" si="16"/>
        <v>1</v>
      </c>
      <c r="B60" s="51" t="s">
        <v>94</v>
      </c>
      <c r="C60" s="150" t="s">
        <v>404</v>
      </c>
      <c r="D60" s="55" t="s">
        <v>405</v>
      </c>
      <c r="E60" s="50" t="s">
        <v>113</v>
      </c>
      <c r="F60" s="50" t="s">
        <v>95</v>
      </c>
      <c r="G60" s="95"/>
      <c r="H60" s="317"/>
      <c r="I60" s="80">
        <f t="shared" si="17"/>
        <v>1</v>
      </c>
      <c r="J60" s="80">
        <f t="shared" si="18"/>
        <v>1</v>
      </c>
      <c r="K60" s="50">
        <f t="shared" si="19"/>
        <v>0</v>
      </c>
      <c r="L60" s="81">
        <f t="shared" si="20"/>
        <v>0</v>
      </c>
      <c r="M60" s="42" t="str">
        <f t="shared" si="21"/>
        <v>offen</v>
      </c>
      <c r="N60" s="50"/>
      <c r="O60" s="44">
        <v>1</v>
      </c>
      <c r="P60" s="135">
        <f t="shared" si="1"/>
        <v>0</v>
      </c>
      <c r="Q60" s="135">
        <f t="shared" si="2"/>
        <v>0</v>
      </c>
      <c r="R60" s="135">
        <f t="shared" si="3"/>
        <v>1</v>
      </c>
      <c r="S60" s="135">
        <f t="shared" si="4"/>
        <v>0</v>
      </c>
      <c r="T60" s="135">
        <f t="shared" si="5"/>
        <v>0</v>
      </c>
    </row>
    <row r="61" spans="1:20">
      <c r="A61" s="334" t="str">
        <f t="shared" si="16"/>
        <v>1</v>
      </c>
      <c r="B61" s="51" t="s">
        <v>94</v>
      </c>
      <c r="C61" s="150" t="s">
        <v>406</v>
      </c>
      <c r="D61" s="55" t="s">
        <v>407</v>
      </c>
      <c r="E61" s="50" t="s">
        <v>113</v>
      </c>
      <c r="F61" s="50" t="s">
        <v>95</v>
      </c>
      <c r="G61" s="95"/>
      <c r="H61" s="317"/>
      <c r="I61" s="80">
        <f t="shared" si="17"/>
        <v>1</v>
      </c>
      <c r="J61" s="80">
        <f t="shared" si="18"/>
        <v>1</v>
      </c>
      <c r="K61" s="50">
        <f t="shared" si="19"/>
        <v>0</v>
      </c>
      <c r="L61" s="81">
        <f t="shared" si="20"/>
        <v>0</v>
      </c>
      <c r="M61" s="42" t="str">
        <f t="shared" si="21"/>
        <v>offen</v>
      </c>
      <c r="N61" s="50"/>
      <c r="O61" s="44">
        <v>1</v>
      </c>
      <c r="P61" s="135">
        <f t="shared" si="1"/>
        <v>0</v>
      </c>
      <c r="Q61" s="135">
        <f t="shared" si="2"/>
        <v>0</v>
      </c>
      <c r="R61" s="135">
        <f t="shared" si="3"/>
        <v>1</v>
      </c>
      <c r="S61" s="135">
        <f t="shared" si="4"/>
        <v>0</v>
      </c>
      <c r="T61" s="135">
        <f t="shared" si="5"/>
        <v>0</v>
      </c>
    </row>
    <row r="62" spans="1:20" ht="26.4">
      <c r="A62" s="334" t="str">
        <f t="shared" si="16"/>
        <v>1</v>
      </c>
      <c r="B62" s="51" t="s">
        <v>94</v>
      </c>
      <c r="C62" s="150" t="s">
        <v>408</v>
      </c>
      <c r="D62" s="55" t="s">
        <v>409</v>
      </c>
      <c r="E62" s="50" t="s">
        <v>113</v>
      </c>
      <c r="F62" s="50" t="s">
        <v>95</v>
      </c>
      <c r="G62" s="95"/>
      <c r="H62" s="317"/>
      <c r="I62" s="80">
        <f t="shared" si="17"/>
        <v>1</v>
      </c>
      <c r="J62" s="80">
        <f t="shared" si="18"/>
        <v>1</v>
      </c>
      <c r="K62" s="50">
        <f t="shared" si="19"/>
        <v>0</v>
      </c>
      <c r="L62" s="81">
        <f t="shared" si="20"/>
        <v>0</v>
      </c>
      <c r="M62" s="42" t="str">
        <f t="shared" si="21"/>
        <v>offen</v>
      </c>
      <c r="N62" s="50"/>
      <c r="O62" s="44">
        <v>1</v>
      </c>
      <c r="P62" s="135">
        <f t="shared" si="1"/>
        <v>0</v>
      </c>
      <c r="Q62" s="135">
        <f t="shared" si="2"/>
        <v>0</v>
      </c>
      <c r="R62" s="135">
        <f t="shared" si="3"/>
        <v>1</v>
      </c>
      <c r="S62" s="135">
        <f t="shared" si="4"/>
        <v>0</v>
      </c>
      <c r="T62" s="135">
        <f t="shared" si="5"/>
        <v>0</v>
      </c>
    </row>
    <row r="63" spans="1:20">
      <c r="A63" s="334" t="str">
        <f t="shared" si="16"/>
        <v>1</v>
      </c>
      <c r="B63" s="51" t="s">
        <v>94</v>
      </c>
      <c r="C63" s="150" t="s">
        <v>410</v>
      </c>
      <c r="D63" s="55" t="s">
        <v>411</v>
      </c>
      <c r="E63" s="50" t="s">
        <v>113</v>
      </c>
      <c r="F63" s="50" t="s">
        <v>95</v>
      </c>
      <c r="G63" s="95"/>
      <c r="H63" s="317"/>
      <c r="I63" s="80">
        <f t="shared" si="17"/>
        <v>1</v>
      </c>
      <c r="J63" s="80">
        <f t="shared" si="18"/>
        <v>1</v>
      </c>
      <c r="K63" s="50">
        <f t="shared" si="19"/>
        <v>0</v>
      </c>
      <c r="L63" s="81">
        <f t="shared" si="20"/>
        <v>0</v>
      </c>
      <c r="M63" s="42" t="str">
        <f t="shared" si="21"/>
        <v>offen</v>
      </c>
      <c r="N63" s="50"/>
      <c r="O63" s="44">
        <v>1</v>
      </c>
      <c r="P63" s="135">
        <f t="shared" si="1"/>
        <v>0</v>
      </c>
      <c r="Q63" s="135">
        <f t="shared" si="2"/>
        <v>0</v>
      </c>
      <c r="R63" s="135">
        <f t="shared" si="3"/>
        <v>1</v>
      </c>
      <c r="S63" s="135">
        <f t="shared" si="4"/>
        <v>0</v>
      </c>
      <c r="T63" s="135">
        <f t="shared" si="5"/>
        <v>0</v>
      </c>
    </row>
    <row r="64" spans="1:20">
      <c r="A64" s="334" t="str">
        <f t="shared" si="16"/>
        <v>1</v>
      </c>
      <c r="B64" s="51" t="s">
        <v>94</v>
      </c>
      <c r="C64" s="150" t="s">
        <v>412</v>
      </c>
      <c r="D64" s="55" t="s">
        <v>413</v>
      </c>
      <c r="E64" s="50" t="s">
        <v>113</v>
      </c>
      <c r="F64" s="50" t="s">
        <v>95</v>
      </c>
      <c r="G64" s="95"/>
      <c r="H64" s="317"/>
      <c r="I64" s="80">
        <f t="shared" si="17"/>
        <v>1</v>
      </c>
      <c r="J64" s="80">
        <f t="shared" si="18"/>
        <v>1</v>
      </c>
      <c r="K64" s="50">
        <f t="shared" si="19"/>
        <v>0</v>
      </c>
      <c r="L64" s="81">
        <f t="shared" si="20"/>
        <v>0</v>
      </c>
      <c r="M64" s="42" t="str">
        <f t="shared" si="21"/>
        <v>offen</v>
      </c>
      <c r="N64" s="50"/>
      <c r="O64" s="44">
        <v>1</v>
      </c>
      <c r="P64" s="135">
        <f t="shared" si="1"/>
        <v>0</v>
      </c>
      <c r="Q64" s="135">
        <f t="shared" si="2"/>
        <v>0</v>
      </c>
      <c r="R64" s="135">
        <f t="shared" si="3"/>
        <v>1</v>
      </c>
      <c r="S64" s="135">
        <f t="shared" si="4"/>
        <v>0</v>
      </c>
      <c r="T64" s="135">
        <f t="shared" si="5"/>
        <v>0</v>
      </c>
    </row>
    <row r="65" spans="1:20">
      <c r="A65" s="334" t="str">
        <f t="shared" si="16"/>
        <v>1</v>
      </c>
      <c r="B65" s="51" t="s">
        <v>94</v>
      </c>
      <c r="C65" s="150" t="s">
        <v>414</v>
      </c>
      <c r="D65" s="55" t="s">
        <v>415</v>
      </c>
      <c r="E65" s="50" t="s">
        <v>113</v>
      </c>
      <c r="F65" s="50" t="s">
        <v>95</v>
      </c>
      <c r="G65" s="95"/>
      <c r="H65" s="317"/>
      <c r="I65" s="80">
        <f t="shared" si="17"/>
        <v>1</v>
      </c>
      <c r="J65" s="80">
        <f t="shared" si="18"/>
        <v>1</v>
      </c>
      <c r="K65" s="50">
        <f t="shared" si="19"/>
        <v>0</v>
      </c>
      <c r="L65" s="81">
        <f t="shared" si="20"/>
        <v>0</v>
      </c>
      <c r="M65" s="42" t="str">
        <f t="shared" si="21"/>
        <v>offen</v>
      </c>
      <c r="N65" s="50"/>
      <c r="O65" s="44">
        <v>1</v>
      </c>
      <c r="P65" s="135">
        <f t="shared" si="1"/>
        <v>0</v>
      </c>
      <c r="Q65" s="135">
        <f t="shared" si="2"/>
        <v>0</v>
      </c>
      <c r="R65" s="135">
        <f t="shared" si="3"/>
        <v>1</v>
      </c>
      <c r="S65" s="135">
        <f t="shared" si="4"/>
        <v>0</v>
      </c>
      <c r="T65" s="135">
        <f t="shared" si="5"/>
        <v>0</v>
      </c>
    </row>
    <row r="66" spans="1:20">
      <c r="A66" s="334" t="str">
        <f t="shared" si="16"/>
        <v>1</v>
      </c>
      <c r="B66" s="51" t="s">
        <v>94</v>
      </c>
      <c r="C66" s="150" t="s">
        <v>416</v>
      </c>
      <c r="D66" s="55" t="s">
        <v>417</v>
      </c>
      <c r="E66" s="50" t="s">
        <v>113</v>
      </c>
      <c r="F66" s="50" t="s">
        <v>95</v>
      </c>
      <c r="G66" s="95"/>
      <c r="H66" s="317"/>
      <c r="I66" s="80">
        <f t="shared" si="17"/>
        <v>1</v>
      </c>
      <c r="J66" s="80">
        <f t="shared" si="18"/>
        <v>1</v>
      </c>
      <c r="K66" s="50">
        <f t="shared" si="19"/>
        <v>0</v>
      </c>
      <c r="L66" s="81">
        <f t="shared" si="20"/>
        <v>0</v>
      </c>
      <c r="M66" s="42" t="str">
        <f t="shared" si="21"/>
        <v>offen</v>
      </c>
      <c r="N66" s="50"/>
      <c r="O66" s="44">
        <v>1</v>
      </c>
      <c r="P66" s="135">
        <f t="shared" si="1"/>
        <v>0</v>
      </c>
      <c r="Q66" s="135">
        <f t="shared" si="2"/>
        <v>0</v>
      </c>
      <c r="R66" s="135">
        <f t="shared" si="3"/>
        <v>1</v>
      </c>
      <c r="S66" s="135">
        <f t="shared" si="4"/>
        <v>0</v>
      </c>
      <c r="T66" s="135">
        <f t="shared" si="5"/>
        <v>0</v>
      </c>
    </row>
    <row r="67" spans="1:20">
      <c r="A67" s="334" t="str">
        <f t="shared" si="16"/>
        <v>1</v>
      </c>
      <c r="B67" s="51" t="s">
        <v>94</v>
      </c>
      <c r="C67" s="150" t="s">
        <v>418</v>
      </c>
      <c r="D67" s="55" t="s">
        <v>419</v>
      </c>
      <c r="E67" s="50" t="s">
        <v>113</v>
      </c>
      <c r="F67" s="50" t="s">
        <v>95</v>
      </c>
      <c r="G67" s="95"/>
      <c r="H67" s="317"/>
      <c r="I67" s="80">
        <f t="shared" ref="I67" si="22">IF(B67="","",IF(B67="B-Kriterium",1,"---"))</f>
        <v>1</v>
      </c>
      <c r="J67" s="80">
        <f t="shared" ref="J67" si="23">IF(B67="","",IF(B67="A-Kriterium","---",O67))</f>
        <v>5</v>
      </c>
      <c r="K67" s="50">
        <f t="shared" ref="K67" si="24">IF($B67="A-Kriterium","---",IF(B67="","",IF(AND(B67="B-Kriterium",G67="ja"),J67,0)))</f>
        <v>0</v>
      </c>
      <c r="L67" s="81">
        <f t="shared" ref="L67" si="25">IF(B67="A-Kriterium","---",IF(B67="","",I67*K67))</f>
        <v>0</v>
      </c>
      <c r="M67" s="42" t="str">
        <f t="shared" ref="M67" si="26">IF(AND(ISBLANK(G67)=FALSE,B67="B-Kriterium"),"ok",IF($B67="","",IF(AND(B67="A-Kriterium",G67="ja"),"ok",IF(AND(B67="A-Kriterium",G67="nein"),"nok","offen"))))</f>
        <v>offen</v>
      </c>
      <c r="N67" s="50"/>
      <c r="O67" s="44">
        <v>5</v>
      </c>
      <c r="P67" s="135">
        <f t="shared" si="1"/>
        <v>0</v>
      </c>
      <c r="Q67" s="135">
        <f t="shared" si="2"/>
        <v>0</v>
      </c>
      <c r="R67" s="135">
        <f t="shared" si="3"/>
        <v>1</v>
      </c>
      <c r="S67" s="135">
        <f t="shared" si="4"/>
        <v>0</v>
      </c>
      <c r="T67" s="135">
        <f t="shared" si="5"/>
        <v>0</v>
      </c>
    </row>
    <row r="68" spans="1:20">
      <c r="A68" s="334" t="str">
        <f t="shared" si="16"/>
        <v/>
      </c>
      <c r="B68" s="51"/>
      <c r="C68" s="150"/>
      <c r="D68" s="55"/>
      <c r="E68" s="50"/>
      <c r="F68" s="50"/>
      <c r="G68" s="95"/>
      <c r="H68" s="317"/>
      <c r="I68" s="80"/>
      <c r="J68" s="80"/>
      <c r="K68" s="50"/>
      <c r="L68" s="81"/>
      <c r="M68" s="42"/>
      <c r="N68" s="50"/>
      <c r="P68" s="135">
        <f t="shared" ref="P68:P101" si="27">IF(AND($F68="Bieter/in",$B68="A-Kriterium",$M68=P$9),1,0)</f>
        <v>0</v>
      </c>
      <c r="Q68" s="135">
        <f t="shared" ref="Q68:Q101" si="28">IF(AND($F68="Auftragsgeber/in",$B68="A-Kriterium",$M68=Q$9),1,0)</f>
        <v>0</v>
      </c>
      <c r="R68" s="135">
        <f t="shared" ref="R68:R101" si="29">IF(AND($F68="Bieter/in",$B68="B-Kriterium",$M68=R$9),1,0)</f>
        <v>0</v>
      </c>
      <c r="S68" s="135">
        <f t="shared" ref="S68:S101" si="30">IF(AND($F68="Auftragsgeber/in",$B68="B-Kriterium",$M68=S$9),1,0)</f>
        <v>0</v>
      </c>
      <c r="T68" s="135">
        <f t="shared" ref="T68:T101" si="31">IF(M68="nok",1,0)</f>
        <v>0</v>
      </c>
    </row>
    <row r="69" spans="1:20">
      <c r="A69" s="334" t="str">
        <f t="shared" si="16"/>
        <v>1</v>
      </c>
      <c r="B69" s="51"/>
      <c r="C69" s="150" t="s">
        <v>420</v>
      </c>
      <c r="D69" s="55" t="s">
        <v>421</v>
      </c>
      <c r="E69" s="50"/>
      <c r="F69" s="50"/>
      <c r="G69" s="95"/>
      <c r="H69" s="317"/>
      <c r="I69" s="80" t="str">
        <f t="shared" si="17"/>
        <v/>
      </c>
      <c r="J69" s="80" t="str">
        <f t="shared" si="18"/>
        <v/>
      </c>
      <c r="K69" s="50" t="str">
        <f t="shared" si="19"/>
        <v/>
      </c>
      <c r="L69" s="81" t="str">
        <f t="shared" si="20"/>
        <v/>
      </c>
      <c r="M69" s="42" t="str">
        <f t="shared" si="21"/>
        <v/>
      </c>
      <c r="N69" s="50"/>
      <c r="P69" s="135">
        <f t="shared" si="27"/>
        <v>0</v>
      </c>
      <c r="Q69" s="135">
        <f t="shared" si="28"/>
        <v>0</v>
      </c>
      <c r="R69" s="135">
        <f t="shared" si="29"/>
        <v>0</v>
      </c>
      <c r="S69" s="135">
        <f t="shared" si="30"/>
        <v>0</v>
      </c>
      <c r="T69" s="135">
        <f t="shared" si="31"/>
        <v>0</v>
      </c>
    </row>
    <row r="70" spans="1:20" ht="55.95" customHeight="1">
      <c r="A70" s="334" t="str">
        <f t="shared" si="16"/>
        <v>1</v>
      </c>
      <c r="B70" s="51" t="s">
        <v>94</v>
      </c>
      <c r="C70" s="150" t="s">
        <v>422</v>
      </c>
      <c r="D70" s="55" t="s">
        <v>423</v>
      </c>
      <c r="E70" s="50" t="s">
        <v>113</v>
      </c>
      <c r="F70" s="50" t="s">
        <v>95</v>
      </c>
      <c r="G70" s="95"/>
      <c r="H70" s="317"/>
      <c r="I70" s="80">
        <f t="shared" si="17"/>
        <v>1</v>
      </c>
      <c r="J70" s="80">
        <f t="shared" si="18"/>
        <v>1</v>
      </c>
      <c r="K70" s="50">
        <f t="shared" si="19"/>
        <v>0</v>
      </c>
      <c r="L70" s="81">
        <f t="shared" si="20"/>
        <v>0</v>
      </c>
      <c r="M70" s="42" t="str">
        <f t="shared" si="21"/>
        <v>offen</v>
      </c>
      <c r="N70" s="50"/>
      <c r="O70" s="44">
        <v>1</v>
      </c>
      <c r="P70" s="135">
        <f t="shared" si="27"/>
        <v>0</v>
      </c>
      <c r="Q70" s="135">
        <f t="shared" si="28"/>
        <v>0</v>
      </c>
      <c r="R70" s="135">
        <f t="shared" si="29"/>
        <v>1</v>
      </c>
      <c r="S70" s="135">
        <f t="shared" si="30"/>
        <v>0</v>
      </c>
      <c r="T70" s="135">
        <f t="shared" si="31"/>
        <v>0</v>
      </c>
    </row>
    <row r="71" spans="1:20" ht="30" customHeight="1">
      <c r="A71" s="334" t="str">
        <f t="shared" si="16"/>
        <v>1</v>
      </c>
      <c r="B71" s="51" t="s">
        <v>94</v>
      </c>
      <c r="C71" s="150" t="s">
        <v>424</v>
      </c>
      <c r="D71" s="55" t="s">
        <v>425</v>
      </c>
      <c r="E71" s="50" t="s">
        <v>113</v>
      </c>
      <c r="F71" s="50" t="s">
        <v>95</v>
      </c>
      <c r="G71" s="95"/>
      <c r="H71" s="317"/>
      <c r="I71" s="80">
        <f t="shared" si="17"/>
        <v>1</v>
      </c>
      <c r="J71" s="80">
        <f t="shared" si="18"/>
        <v>1</v>
      </c>
      <c r="K71" s="50">
        <f t="shared" si="19"/>
        <v>0</v>
      </c>
      <c r="L71" s="81">
        <f t="shared" si="20"/>
        <v>0</v>
      </c>
      <c r="M71" s="42" t="str">
        <f t="shared" si="21"/>
        <v>offen</v>
      </c>
      <c r="N71" s="50"/>
      <c r="O71" s="44">
        <v>1</v>
      </c>
      <c r="P71" s="135">
        <f t="shared" si="27"/>
        <v>0</v>
      </c>
      <c r="Q71" s="135">
        <f t="shared" si="28"/>
        <v>0</v>
      </c>
      <c r="R71" s="135">
        <f t="shared" si="29"/>
        <v>1</v>
      </c>
      <c r="S71" s="135">
        <f t="shared" si="30"/>
        <v>0</v>
      </c>
      <c r="T71" s="135">
        <f t="shared" si="31"/>
        <v>0</v>
      </c>
    </row>
    <row r="72" spans="1:20" ht="33" customHeight="1">
      <c r="A72" s="334" t="str">
        <f t="shared" si="16"/>
        <v>1</v>
      </c>
      <c r="B72" s="51" t="s">
        <v>94</v>
      </c>
      <c r="C72" s="150" t="s">
        <v>426</v>
      </c>
      <c r="D72" s="55" t="s">
        <v>427</v>
      </c>
      <c r="E72" s="50" t="s">
        <v>113</v>
      </c>
      <c r="F72" s="50" t="s">
        <v>95</v>
      </c>
      <c r="G72" s="95"/>
      <c r="H72" s="317"/>
      <c r="I72" s="80">
        <f t="shared" si="17"/>
        <v>1</v>
      </c>
      <c r="J72" s="80">
        <f t="shared" si="18"/>
        <v>1</v>
      </c>
      <c r="K72" s="50">
        <f t="shared" si="19"/>
        <v>0</v>
      </c>
      <c r="L72" s="81">
        <f t="shared" si="20"/>
        <v>0</v>
      </c>
      <c r="M72" s="42" t="str">
        <f t="shared" si="21"/>
        <v>offen</v>
      </c>
      <c r="N72" s="50"/>
      <c r="O72" s="44">
        <v>1</v>
      </c>
      <c r="P72" s="135">
        <f t="shared" si="27"/>
        <v>0</v>
      </c>
      <c r="Q72" s="135">
        <f t="shared" si="28"/>
        <v>0</v>
      </c>
      <c r="R72" s="135">
        <f t="shared" si="29"/>
        <v>1</v>
      </c>
      <c r="S72" s="135">
        <f t="shared" si="30"/>
        <v>0</v>
      </c>
      <c r="T72" s="135">
        <f t="shared" si="31"/>
        <v>0</v>
      </c>
    </row>
    <row r="73" spans="1:20" ht="26.4">
      <c r="A73" s="334" t="str">
        <f t="shared" si="16"/>
        <v>1</v>
      </c>
      <c r="B73" s="51" t="s">
        <v>94</v>
      </c>
      <c r="C73" s="150" t="s">
        <v>428</v>
      </c>
      <c r="D73" s="55" t="s">
        <v>429</v>
      </c>
      <c r="E73" s="50" t="s">
        <v>113</v>
      </c>
      <c r="F73" s="50" t="s">
        <v>95</v>
      </c>
      <c r="G73" s="95"/>
      <c r="H73" s="317"/>
      <c r="I73" s="80">
        <f t="shared" si="17"/>
        <v>1</v>
      </c>
      <c r="J73" s="80">
        <f t="shared" si="18"/>
        <v>1</v>
      </c>
      <c r="K73" s="50">
        <f t="shared" si="19"/>
        <v>0</v>
      </c>
      <c r="L73" s="81">
        <f t="shared" si="20"/>
        <v>0</v>
      </c>
      <c r="M73" s="42" t="str">
        <f t="shared" si="21"/>
        <v>offen</v>
      </c>
      <c r="N73" s="50"/>
      <c r="O73" s="44">
        <v>1</v>
      </c>
      <c r="P73" s="135">
        <f t="shared" si="27"/>
        <v>0</v>
      </c>
      <c r="Q73" s="135">
        <f t="shared" si="28"/>
        <v>0</v>
      </c>
      <c r="R73" s="135">
        <f t="shared" si="29"/>
        <v>1</v>
      </c>
      <c r="S73" s="135">
        <f t="shared" si="30"/>
        <v>0</v>
      </c>
      <c r="T73" s="135">
        <f t="shared" si="31"/>
        <v>0</v>
      </c>
    </row>
    <row r="74" spans="1:20" ht="26.4">
      <c r="A74" s="334" t="str">
        <f t="shared" si="16"/>
        <v>1</v>
      </c>
      <c r="B74" s="51" t="s">
        <v>94</v>
      </c>
      <c r="C74" s="150" t="s">
        <v>430</v>
      </c>
      <c r="D74" s="55" t="s">
        <v>431</v>
      </c>
      <c r="E74" s="50" t="s">
        <v>113</v>
      </c>
      <c r="F74" s="50" t="s">
        <v>95</v>
      </c>
      <c r="G74" s="95"/>
      <c r="H74" s="317"/>
      <c r="I74" s="80">
        <f t="shared" si="17"/>
        <v>1</v>
      </c>
      <c r="J74" s="80">
        <f t="shared" si="18"/>
        <v>1</v>
      </c>
      <c r="K74" s="50">
        <f t="shared" si="19"/>
        <v>0</v>
      </c>
      <c r="L74" s="81">
        <f t="shared" si="20"/>
        <v>0</v>
      </c>
      <c r="M74" s="42" t="str">
        <f t="shared" si="21"/>
        <v>offen</v>
      </c>
      <c r="N74" s="50"/>
      <c r="O74" s="44">
        <v>1</v>
      </c>
      <c r="P74" s="135">
        <f t="shared" si="27"/>
        <v>0</v>
      </c>
      <c r="Q74" s="135">
        <f t="shared" si="28"/>
        <v>0</v>
      </c>
      <c r="R74" s="135">
        <f t="shared" si="29"/>
        <v>1</v>
      </c>
      <c r="S74" s="135">
        <f t="shared" si="30"/>
        <v>0</v>
      </c>
      <c r="T74" s="135">
        <f t="shared" si="31"/>
        <v>0</v>
      </c>
    </row>
    <row r="75" spans="1:20">
      <c r="A75" s="334" t="str">
        <f t="shared" si="16"/>
        <v>1</v>
      </c>
      <c r="B75" s="51" t="s">
        <v>94</v>
      </c>
      <c r="C75" s="150" t="s">
        <v>432</v>
      </c>
      <c r="D75" s="55" t="s">
        <v>433</v>
      </c>
      <c r="E75" s="50" t="s">
        <v>113</v>
      </c>
      <c r="F75" s="50" t="s">
        <v>95</v>
      </c>
      <c r="G75" s="95"/>
      <c r="H75" s="317"/>
      <c r="I75" s="80">
        <f t="shared" si="17"/>
        <v>1</v>
      </c>
      <c r="J75" s="80">
        <f t="shared" si="18"/>
        <v>1</v>
      </c>
      <c r="K75" s="50">
        <f t="shared" si="19"/>
        <v>0</v>
      </c>
      <c r="L75" s="81">
        <f t="shared" si="20"/>
        <v>0</v>
      </c>
      <c r="M75" s="42" t="str">
        <f t="shared" si="21"/>
        <v>offen</v>
      </c>
      <c r="N75" s="50"/>
      <c r="O75" s="44">
        <v>1</v>
      </c>
      <c r="P75" s="135">
        <f t="shared" si="27"/>
        <v>0</v>
      </c>
      <c r="Q75" s="135">
        <f t="shared" si="28"/>
        <v>0</v>
      </c>
      <c r="R75" s="135">
        <f t="shared" si="29"/>
        <v>1</v>
      </c>
      <c r="S75" s="135">
        <f t="shared" si="30"/>
        <v>0</v>
      </c>
      <c r="T75" s="135">
        <f t="shared" si="31"/>
        <v>0</v>
      </c>
    </row>
    <row r="76" spans="1:20">
      <c r="A76" s="334" t="str">
        <f t="shared" si="16"/>
        <v/>
      </c>
      <c r="B76" s="51"/>
      <c r="C76" s="150"/>
      <c r="D76" s="55"/>
      <c r="E76" s="50"/>
      <c r="F76" s="50"/>
      <c r="G76" s="50"/>
      <c r="H76" s="50"/>
      <c r="I76" s="80" t="str">
        <f t="shared" si="17"/>
        <v/>
      </c>
      <c r="J76" s="80" t="str">
        <f t="shared" si="18"/>
        <v/>
      </c>
      <c r="K76" s="50" t="str">
        <f t="shared" si="19"/>
        <v/>
      </c>
      <c r="L76" s="81" t="str">
        <f t="shared" si="20"/>
        <v/>
      </c>
      <c r="M76" s="42" t="str">
        <f t="shared" si="21"/>
        <v/>
      </c>
      <c r="N76" s="50"/>
      <c r="P76" s="135">
        <f t="shared" si="27"/>
        <v>0</v>
      </c>
      <c r="Q76" s="135">
        <f t="shared" si="28"/>
        <v>0</v>
      </c>
      <c r="R76" s="135">
        <f t="shared" si="29"/>
        <v>0</v>
      </c>
      <c r="S76" s="135">
        <f t="shared" si="30"/>
        <v>0</v>
      </c>
      <c r="T76" s="135">
        <f t="shared" si="31"/>
        <v>0</v>
      </c>
    </row>
    <row r="77" spans="1:20">
      <c r="A77" s="334" t="str">
        <f t="shared" si="16"/>
        <v>1</v>
      </c>
      <c r="B77" s="51"/>
      <c r="C77" s="150" t="s">
        <v>434</v>
      </c>
      <c r="D77" s="55" t="s">
        <v>435</v>
      </c>
      <c r="E77" s="50"/>
      <c r="F77" s="50"/>
      <c r="G77" s="95"/>
      <c r="H77" s="317"/>
      <c r="I77" s="80" t="str">
        <f t="shared" si="17"/>
        <v/>
      </c>
      <c r="J77" s="80" t="str">
        <f t="shared" si="18"/>
        <v/>
      </c>
      <c r="K77" s="50" t="str">
        <f t="shared" si="19"/>
        <v/>
      </c>
      <c r="L77" s="81" t="str">
        <f t="shared" si="20"/>
        <v/>
      </c>
      <c r="M77" s="42" t="str">
        <f t="shared" si="21"/>
        <v/>
      </c>
      <c r="N77" s="50"/>
      <c r="P77" s="135">
        <f t="shared" si="27"/>
        <v>0</v>
      </c>
      <c r="Q77" s="135">
        <f t="shared" si="28"/>
        <v>0</v>
      </c>
      <c r="R77" s="135">
        <f t="shared" si="29"/>
        <v>0</v>
      </c>
      <c r="S77" s="135">
        <f t="shared" si="30"/>
        <v>0</v>
      </c>
      <c r="T77" s="135">
        <f t="shared" si="31"/>
        <v>0</v>
      </c>
    </row>
    <row r="78" spans="1:20" ht="26.4">
      <c r="A78" s="334" t="str">
        <f t="shared" si="16"/>
        <v>1</v>
      </c>
      <c r="B78" s="51" t="s">
        <v>94</v>
      </c>
      <c r="C78" s="150" t="s">
        <v>436</v>
      </c>
      <c r="D78" s="55" t="s">
        <v>437</v>
      </c>
      <c r="E78" s="50" t="s">
        <v>113</v>
      </c>
      <c r="F78" s="50" t="s">
        <v>95</v>
      </c>
      <c r="G78" s="95"/>
      <c r="H78" s="317"/>
      <c r="I78" s="80">
        <f t="shared" ref="I78:I101" si="32">IF(B78="","",IF(B78="B-Kriterium",1,"---"))</f>
        <v>1</v>
      </c>
      <c r="J78" s="80">
        <f t="shared" ref="J78:J101" si="33">IF(B78="","",IF(B78="A-Kriterium","---",O78))</f>
        <v>1</v>
      </c>
      <c r="K78" s="50">
        <f t="shared" ref="K78:K101" si="34">IF($B78="A-Kriterium","---",IF(B78="","",IF(AND(B78="B-Kriterium",G78="ja"),J78,0)))</f>
        <v>0</v>
      </c>
      <c r="L78" s="81">
        <f t="shared" ref="L78:L101" si="35">IF(B78="A-Kriterium","---",IF(B78="","",I78*K78))</f>
        <v>0</v>
      </c>
      <c r="M78" s="42" t="str">
        <f t="shared" si="21"/>
        <v>offen</v>
      </c>
      <c r="N78" s="50"/>
      <c r="O78" s="44">
        <v>1</v>
      </c>
      <c r="P78" s="135">
        <f t="shared" si="27"/>
        <v>0</v>
      </c>
      <c r="Q78" s="135">
        <f t="shared" si="28"/>
        <v>0</v>
      </c>
      <c r="R78" s="135">
        <f t="shared" si="29"/>
        <v>1</v>
      </c>
      <c r="S78" s="135">
        <f t="shared" si="30"/>
        <v>0</v>
      </c>
      <c r="T78" s="135">
        <f t="shared" si="31"/>
        <v>0</v>
      </c>
    </row>
    <row r="79" spans="1:20" ht="26.4">
      <c r="A79" s="334" t="str">
        <f t="shared" si="16"/>
        <v>1</v>
      </c>
      <c r="B79" s="51" t="s">
        <v>94</v>
      </c>
      <c r="C79" s="150" t="s">
        <v>438</v>
      </c>
      <c r="D79" s="55" t="s">
        <v>439</v>
      </c>
      <c r="E79" s="50" t="s">
        <v>113</v>
      </c>
      <c r="F79" s="50" t="s">
        <v>95</v>
      </c>
      <c r="G79" s="95"/>
      <c r="H79" s="317"/>
      <c r="I79" s="80">
        <f t="shared" si="32"/>
        <v>1</v>
      </c>
      <c r="J79" s="80">
        <f t="shared" si="33"/>
        <v>1</v>
      </c>
      <c r="K79" s="50">
        <f t="shared" si="34"/>
        <v>0</v>
      </c>
      <c r="L79" s="81">
        <f t="shared" si="35"/>
        <v>0</v>
      </c>
      <c r="M79" s="42" t="str">
        <f t="shared" si="21"/>
        <v>offen</v>
      </c>
      <c r="N79" s="50"/>
      <c r="O79" s="44">
        <v>1</v>
      </c>
      <c r="P79" s="135">
        <f t="shared" si="27"/>
        <v>0</v>
      </c>
      <c r="Q79" s="135">
        <f t="shared" si="28"/>
        <v>0</v>
      </c>
      <c r="R79" s="135">
        <f t="shared" si="29"/>
        <v>1</v>
      </c>
      <c r="S79" s="135">
        <f t="shared" si="30"/>
        <v>0</v>
      </c>
      <c r="T79" s="135">
        <f t="shared" si="31"/>
        <v>0</v>
      </c>
    </row>
    <row r="80" spans="1:20" ht="26.4">
      <c r="A80" s="334" t="str">
        <f t="shared" si="16"/>
        <v>1</v>
      </c>
      <c r="B80" s="51" t="s">
        <v>94</v>
      </c>
      <c r="C80" s="150" t="s">
        <v>440</v>
      </c>
      <c r="D80" s="55" t="s">
        <v>441</v>
      </c>
      <c r="E80" s="50" t="s">
        <v>113</v>
      </c>
      <c r="F80" s="50" t="s">
        <v>95</v>
      </c>
      <c r="G80" s="95"/>
      <c r="H80" s="317"/>
      <c r="I80" s="80">
        <f t="shared" si="32"/>
        <v>1</v>
      </c>
      <c r="J80" s="80">
        <f t="shared" si="33"/>
        <v>1</v>
      </c>
      <c r="K80" s="50">
        <f t="shared" si="34"/>
        <v>0</v>
      </c>
      <c r="L80" s="81">
        <f t="shared" si="35"/>
        <v>0</v>
      </c>
      <c r="M80" s="42" t="str">
        <f t="shared" si="21"/>
        <v>offen</v>
      </c>
      <c r="N80" s="50"/>
      <c r="O80" s="44">
        <v>1</v>
      </c>
      <c r="P80" s="135">
        <f t="shared" si="27"/>
        <v>0</v>
      </c>
      <c r="Q80" s="135">
        <f t="shared" si="28"/>
        <v>0</v>
      </c>
      <c r="R80" s="135">
        <f t="shared" si="29"/>
        <v>1</v>
      </c>
      <c r="S80" s="135">
        <f t="shared" si="30"/>
        <v>0</v>
      </c>
      <c r="T80" s="135">
        <f t="shared" si="31"/>
        <v>0</v>
      </c>
    </row>
    <row r="81" spans="1:20">
      <c r="A81" s="334" t="str">
        <f t="shared" si="16"/>
        <v>1</v>
      </c>
      <c r="B81" s="51" t="s">
        <v>94</v>
      </c>
      <c r="C81" s="150" t="s">
        <v>442</v>
      </c>
      <c r="D81" s="55" t="s">
        <v>443</v>
      </c>
      <c r="E81" s="50" t="s">
        <v>113</v>
      </c>
      <c r="F81" s="50" t="s">
        <v>95</v>
      </c>
      <c r="G81" s="95"/>
      <c r="H81" s="317"/>
      <c r="I81" s="80">
        <f t="shared" si="32"/>
        <v>1</v>
      </c>
      <c r="J81" s="80">
        <f t="shared" si="33"/>
        <v>1</v>
      </c>
      <c r="K81" s="50">
        <f t="shared" si="34"/>
        <v>0</v>
      </c>
      <c r="L81" s="81">
        <f t="shared" si="35"/>
        <v>0</v>
      </c>
      <c r="M81" s="42" t="str">
        <f t="shared" si="21"/>
        <v>offen</v>
      </c>
      <c r="N81" s="50"/>
      <c r="O81" s="44">
        <v>1</v>
      </c>
      <c r="P81" s="135">
        <f t="shared" si="27"/>
        <v>0</v>
      </c>
      <c r="Q81" s="135">
        <f t="shared" si="28"/>
        <v>0</v>
      </c>
      <c r="R81" s="135">
        <f t="shared" si="29"/>
        <v>1</v>
      </c>
      <c r="S81" s="135">
        <f t="shared" si="30"/>
        <v>0</v>
      </c>
      <c r="T81" s="135">
        <f t="shared" si="31"/>
        <v>0</v>
      </c>
    </row>
    <row r="82" spans="1:20">
      <c r="A82" s="334" t="str">
        <f t="shared" si="16"/>
        <v/>
      </c>
      <c r="B82" s="51"/>
      <c r="C82" s="150"/>
      <c r="D82" s="55"/>
      <c r="E82" s="50"/>
      <c r="F82" s="50"/>
      <c r="G82" s="50"/>
      <c r="H82" s="50"/>
      <c r="I82" s="50" t="str">
        <f t="shared" si="32"/>
        <v/>
      </c>
      <c r="J82" s="50" t="str">
        <f t="shared" si="33"/>
        <v/>
      </c>
      <c r="K82" s="50" t="str">
        <f t="shared" si="34"/>
        <v/>
      </c>
      <c r="L82" s="50" t="str">
        <f t="shared" si="35"/>
        <v/>
      </c>
      <c r="M82" s="50" t="str">
        <f t="shared" si="21"/>
        <v/>
      </c>
      <c r="N82" s="50"/>
      <c r="O82" s="50"/>
      <c r="P82" s="135">
        <f t="shared" si="27"/>
        <v>0</v>
      </c>
      <c r="Q82" s="135">
        <f t="shared" si="28"/>
        <v>0</v>
      </c>
      <c r="R82" s="135">
        <f t="shared" si="29"/>
        <v>0</v>
      </c>
      <c r="S82" s="135">
        <f t="shared" si="30"/>
        <v>0</v>
      </c>
      <c r="T82" s="135">
        <f t="shared" si="31"/>
        <v>0</v>
      </c>
    </row>
    <row r="83" spans="1:20">
      <c r="A83" s="334" t="str">
        <f t="shared" si="16"/>
        <v>1</v>
      </c>
      <c r="B83" s="51"/>
      <c r="C83" s="150" t="s">
        <v>444</v>
      </c>
      <c r="D83" s="55" t="s">
        <v>445</v>
      </c>
      <c r="E83" s="50"/>
      <c r="F83" s="50"/>
      <c r="G83" s="95"/>
      <c r="H83" s="317"/>
      <c r="I83" s="80" t="str">
        <f t="shared" si="32"/>
        <v/>
      </c>
      <c r="J83" s="80" t="str">
        <f t="shared" si="33"/>
        <v/>
      </c>
      <c r="K83" s="50" t="str">
        <f t="shared" si="34"/>
        <v/>
      </c>
      <c r="L83" s="81" t="str">
        <f t="shared" si="35"/>
        <v/>
      </c>
      <c r="M83" s="42" t="str">
        <f t="shared" si="21"/>
        <v/>
      </c>
      <c r="N83" s="50"/>
      <c r="P83" s="135">
        <f t="shared" si="27"/>
        <v>0</v>
      </c>
      <c r="Q83" s="135">
        <f t="shared" si="28"/>
        <v>0</v>
      </c>
      <c r="R83" s="135">
        <f t="shared" si="29"/>
        <v>0</v>
      </c>
      <c r="S83" s="135">
        <f t="shared" si="30"/>
        <v>0</v>
      </c>
      <c r="T83" s="135">
        <f t="shared" si="31"/>
        <v>0</v>
      </c>
    </row>
    <row r="84" spans="1:20" ht="28.2" customHeight="1">
      <c r="A84" s="334" t="str">
        <f t="shared" si="16"/>
        <v>1</v>
      </c>
      <c r="B84" s="51" t="s">
        <v>75</v>
      </c>
      <c r="C84" s="150" t="s">
        <v>446</v>
      </c>
      <c r="D84" s="55" t="s">
        <v>447</v>
      </c>
      <c r="E84" s="50" t="s">
        <v>113</v>
      </c>
      <c r="F84" s="50" t="s">
        <v>95</v>
      </c>
      <c r="G84" s="95"/>
      <c r="H84" s="317"/>
      <c r="I84" s="80" t="str">
        <f t="shared" si="32"/>
        <v>---</v>
      </c>
      <c r="J84" s="80" t="str">
        <f t="shared" si="33"/>
        <v>---</v>
      </c>
      <c r="K84" s="50" t="str">
        <f t="shared" si="34"/>
        <v>---</v>
      </c>
      <c r="L84" s="81" t="str">
        <f t="shared" si="35"/>
        <v>---</v>
      </c>
      <c r="M84" s="42" t="str">
        <f t="shared" si="21"/>
        <v>offen</v>
      </c>
      <c r="N84" s="50"/>
      <c r="P84" s="135">
        <f t="shared" si="27"/>
        <v>1</v>
      </c>
      <c r="Q84" s="135">
        <f t="shared" si="28"/>
        <v>0</v>
      </c>
      <c r="R84" s="135">
        <f t="shared" si="29"/>
        <v>0</v>
      </c>
      <c r="S84" s="135">
        <f t="shared" si="30"/>
        <v>0</v>
      </c>
      <c r="T84" s="135">
        <f t="shared" si="31"/>
        <v>0</v>
      </c>
    </row>
    <row r="85" spans="1:20" ht="52.8">
      <c r="A85" s="334" t="str">
        <f t="shared" si="16"/>
        <v>1</v>
      </c>
      <c r="B85" s="51" t="s">
        <v>94</v>
      </c>
      <c r="C85" s="150" t="s">
        <v>448</v>
      </c>
      <c r="D85" s="55" t="s">
        <v>449</v>
      </c>
      <c r="E85" s="50" t="s">
        <v>113</v>
      </c>
      <c r="F85" s="50" t="s">
        <v>95</v>
      </c>
      <c r="G85" s="95"/>
      <c r="H85" s="317"/>
      <c r="I85" s="80">
        <f t="shared" si="32"/>
        <v>1</v>
      </c>
      <c r="J85" s="80">
        <f t="shared" si="33"/>
        <v>1</v>
      </c>
      <c r="K85" s="50">
        <f t="shared" si="34"/>
        <v>0</v>
      </c>
      <c r="L85" s="81">
        <f t="shared" si="35"/>
        <v>0</v>
      </c>
      <c r="M85" s="42" t="str">
        <f t="shared" si="21"/>
        <v>offen</v>
      </c>
      <c r="N85" s="50"/>
      <c r="O85" s="44">
        <v>1</v>
      </c>
      <c r="P85" s="135">
        <f t="shared" si="27"/>
        <v>0</v>
      </c>
      <c r="Q85" s="135">
        <f t="shared" si="28"/>
        <v>0</v>
      </c>
      <c r="R85" s="135">
        <f t="shared" si="29"/>
        <v>1</v>
      </c>
      <c r="S85" s="135">
        <f t="shared" si="30"/>
        <v>0</v>
      </c>
      <c r="T85" s="135">
        <f t="shared" si="31"/>
        <v>0</v>
      </c>
    </row>
    <row r="86" spans="1:20" ht="26.4">
      <c r="A86" s="334" t="str">
        <f t="shared" si="16"/>
        <v>1</v>
      </c>
      <c r="B86" s="51" t="s">
        <v>75</v>
      </c>
      <c r="C86" s="150" t="s">
        <v>450</v>
      </c>
      <c r="D86" s="55" t="s">
        <v>451</v>
      </c>
      <c r="E86" s="50" t="s">
        <v>113</v>
      </c>
      <c r="F86" s="50" t="s">
        <v>95</v>
      </c>
      <c r="G86" s="95"/>
      <c r="H86" s="317"/>
      <c r="I86" s="80" t="str">
        <f t="shared" si="32"/>
        <v>---</v>
      </c>
      <c r="J86" s="80" t="str">
        <f t="shared" si="33"/>
        <v>---</v>
      </c>
      <c r="K86" s="50" t="str">
        <f t="shared" si="34"/>
        <v>---</v>
      </c>
      <c r="L86" s="81" t="str">
        <f t="shared" si="35"/>
        <v>---</v>
      </c>
      <c r="M86" s="42" t="str">
        <f t="shared" ref="M86:M101" si="36">IF(AND(ISBLANK(G86)=FALSE,B86="B-Kriterium"),"ok",IF($B86="","",IF(AND(B86="A-Kriterium",G86="ja"),"ok",IF(AND(B86="A-Kriterium",G86="nein"),"nok","offen"))))</f>
        <v>offen</v>
      </c>
      <c r="N86" s="50"/>
      <c r="P86" s="135">
        <f t="shared" si="27"/>
        <v>1</v>
      </c>
      <c r="Q86" s="135">
        <f t="shared" si="28"/>
        <v>0</v>
      </c>
      <c r="R86" s="135">
        <f t="shared" si="29"/>
        <v>0</v>
      </c>
      <c r="S86" s="135">
        <f t="shared" si="30"/>
        <v>0</v>
      </c>
      <c r="T86" s="135">
        <f t="shared" si="31"/>
        <v>0</v>
      </c>
    </row>
    <row r="87" spans="1:20">
      <c r="A87" s="334" t="str">
        <f t="shared" si="16"/>
        <v>1</v>
      </c>
      <c r="B87" s="51" t="s">
        <v>75</v>
      </c>
      <c r="C87" s="150" t="s">
        <v>452</v>
      </c>
      <c r="D87" s="55" t="s">
        <v>453</v>
      </c>
      <c r="E87" s="50" t="s">
        <v>113</v>
      </c>
      <c r="F87" s="50" t="s">
        <v>95</v>
      </c>
      <c r="G87" s="95"/>
      <c r="H87" s="317"/>
      <c r="I87" s="80" t="str">
        <f t="shared" si="32"/>
        <v>---</v>
      </c>
      <c r="J87" s="80" t="str">
        <f t="shared" si="33"/>
        <v>---</v>
      </c>
      <c r="K87" s="50" t="str">
        <f t="shared" si="34"/>
        <v>---</v>
      </c>
      <c r="L87" s="81" t="str">
        <f t="shared" si="35"/>
        <v>---</v>
      </c>
      <c r="M87" s="42" t="str">
        <f t="shared" si="36"/>
        <v>offen</v>
      </c>
      <c r="N87" s="50"/>
      <c r="P87" s="135">
        <f t="shared" si="27"/>
        <v>1</v>
      </c>
      <c r="Q87" s="135">
        <f t="shared" si="28"/>
        <v>0</v>
      </c>
      <c r="R87" s="135">
        <f t="shared" si="29"/>
        <v>0</v>
      </c>
      <c r="S87" s="135">
        <f t="shared" si="30"/>
        <v>0</v>
      </c>
      <c r="T87" s="135">
        <f t="shared" si="31"/>
        <v>0</v>
      </c>
    </row>
    <row r="88" spans="1:20" ht="26.4">
      <c r="A88" s="334" t="str">
        <f t="shared" si="16"/>
        <v>1</v>
      </c>
      <c r="B88" s="51" t="s">
        <v>75</v>
      </c>
      <c r="C88" s="150" t="s">
        <v>454</v>
      </c>
      <c r="D88" s="55" t="s">
        <v>455</v>
      </c>
      <c r="E88" s="50" t="s">
        <v>113</v>
      </c>
      <c r="F88" s="50" t="s">
        <v>95</v>
      </c>
      <c r="G88" s="95"/>
      <c r="H88" s="317"/>
      <c r="I88" s="80" t="str">
        <f t="shared" si="32"/>
        <v>---</v>
      </c>
      <c r="J88" s="80" t="str">
        <f t="shared" si="33"/>
        <v>---</v>
      </c>
      <c r="K88" s="50" t="str">
        <f t="shared" si="34"/>
        <v>---</v>
      </c>
      <c r="L88" s="81" t="str">
        <f t="shared" si="35"/>
        <v>---</v>
      </c>
      <c r="M88" s="42" t="str">
        <f t="shared" si="36"/>
        <v>offen</v>
      </c>
      <c r="N88" s="50"/>
      <c r="P88" s="135">
        <f t="shared" si="27"/>
        <v>1</v>
      </c>
      <c r="Q88" s="135">
        <f t="shared" si="28"/>
        <v>0</v>
      </c>
      <c r="R88" s="135">
        <f t="shared" si="29"/>
        <v>0</v>
      </c>
      <c r="S88" s="135">
        <f t="shared" si="30"/>
        <v>0</v>
      </c>
      <c r="T88" s="135">
        <f t="shared" si="31"/>
        <v>0</v>
      </c>
    </row>
    <row r="89" spans="1:20">
      <c r="A89" s="334" t="str">
        <f t="shared" si="16"/>
        <v>1</v>
      </c>
      <c r="B89" s="51" t="s">
        <v>75</v>
      </c>
      <c r="C89" s="150" t="s">
        <v>456</v>
      </c>
      <c r="D89" s="55" t="s">
        <v>457</v>
      </c>
      <c r="E89" s="50" t="s">
        <v>113</v>
      </c>
      <c r="F89" s="50" t="s">
        <v>95</v>
      </c>
      <c r="G89" s="95"/>
      <c r="H89" s="317"/>
      <c r="I89" s="80" t="str">
        <f t="shared" si="32"/>
        <v>---</v>
      </c>
      <c r="J89" s="80" t="str">
        <f t="shared" si="33"/>
        <v>---</v>
      </c>
      <c r="K89" s="50" t="str">
        <f t="shared" si="34"/>
        <v>---</v>
      </c>
      <c r="L89" s="81" t="str">
        <f t="shared" si="35"/>
        <v>---</v>
      </c>
      <c r="M89" s="42" t="str">
        <f t="shared" si="36"/>
        <v>offen</v>
      </c>
      <c r="N89" s="50"/>
      <c r="P89" s="135">
        <f t="shared" si="27"/>
        <v>1</v>
      </c>
      <c r="Q89" s="135">
        <f t="shared" si="28"/>
        <v>0</v>
      </c>
      <c r="R89" s="135">
        <f t="shared" si="29"/>
        <v>0</v>
      </c>
      <c r="S89" s="135">
        <f t="shared" si="30"/>
        <v>0</v>
      </c>
      <c r="T89" s="135">
        <f t="shared" si="31"/>
        <v>0</v>
      </c>
    </row>
    <row r="90" spans="1:20">
      <c r="A90" s="334" t="str">
        <f t="shared" si="16"/>
        <v>1</v>
      </c>
      <c r="B90" s="51" t="s">
        <v>75</v>
      </c>
      <c r="C90" s="150" t="s">
        <v>458</v>
      </c>
      <c r="D90" s="55" t="s">
        <v>459</v>
      </c>
      <c r="E90" s="50" t="s">
        <v>113</v>
      </c>
      <c r="F90" s="50" t="s">
        <v>95</v>
      </c>
      <c r="G90" s="95"/>
      <c r="H90" s="317"/>
      <c r="I90" s="80" t="str">
        <f t="shared" si="32"/>
        <v>---</v>
      </c>
      <c r="J90" s="80" t="str">
        <f t="shared" si="33"/>
        <v>---</v>
      </c>
      <c r="K90" s="50" t="str">
        <f t="shared" si="34"/>
        <v>---</v>
      </c>
      <c r="L90" s="81" t="str">
        <f t="shared" si="35"/>
        <v>---</v>
      </c>
      <c r="M90" s="42" t="str">
        <f t="shared" si="36"/>
        <v>offen</v>
      </c>
      <c r="N90" s="50"/>
      <c r="P90" s="135">
        <f t="shared" si="27"/>
        <v>1</v>
      </c>
      <c r="Q90" s="135">
        <f t="shared" si="28"/>
        <v>0</v>
      </c>
      <c r="R90" s="135">
        <f t="shared" si="29"/>
        <v>0</v>
      </c>
      <c r="S90" s="135">
        <f t="shared" si="30"/>
        <v>0</v>
      </c>
      <c r="T90" s="135">
        <f t="shared" si="31"/>
        <v>0</v>
      </c>
    </row>
    <row r="91" spans="1:20">
      <c r="A91" s="334" t="str">
        <f t="shared" si="16"/>
        <v>1</v>
      </c>
      <c r="B91" s="51" t="s">
        <v>75</v>
      </c>
      <c r="C91" s="150" t="s">
        <v>460</v>
      </c>
      <c r="D91" s="55" t="s">
        <v>461</v>
      </c>
      <c r="E91" s="50" t="s">
        <v>113</v>
      </c>
      <c r="F91" s="50" t="s">
        <v>95</v>
      </c>
      <c r="G91" s="95"/>
      <c r="H91" s="317"/>
      <c r="I91" s="80" t="str">
        <f t="shared" si="32"/>
        <v>---</v>
      </c>
      <c r="J91" s="80" t="str">
        <f t="shared" si="33"/>
        <v>---</v>
      </c>
      <c r="K91" s="50" t="str">
        <f t="shared" si="34"/>
        <v>---</v>
      </c>
      <c r="L91" s="81" t="str">
        <f t="shared" si="35"/>
        <v>---</v>
      </c>
      <c r="M91" s="42" t="str">
        <f t="shared" si="36"/>
        <v>offen</v>
      </c>
      <c r="N91" s="50"/>
      <c r="P91" s="135">
        <f t="shared" si="27"/>
        <v>1</v>
      </c>
      <c r="Q91" s="135">
        <f t="shared" si="28"/>
        <v>0</v>
      </c>
      <c r="R91" s="135">
        <f t="shared" si="29"/>
        <v>0</v>
      </c>
      <c r="S91" s="135">
        <f t="shared" si="30"/>
        <v>0</v>
      </c>
      <c r="T91" s="135">
        <f t="shared" si="31"/>
        <v>0</v>
      </c>
    </row>
    <row r="92" spans="1:20">
      <c r="A92" s="334" t="str">
        <f t="shared" si="16"/>
        <v>1</v>
      </c>
      <c r="B92" s="51" t="s">
        <v>75</v>
      </c>
      <c r="C92" s="150" t="s">
        <v>462</v>
      </c>
      <c r="D92" s="55" t="s">
        <v>463</v>
      </c>
      <c r="E92" s="50" t="s">
        <v>113</v>
      </c>
      <c r="F92" s="50" t="s">
        <v>95</v>
      </c>
      <c r="G92" s="95"/>
      <c r="H92" s="317"/>
      <c r="I92" s="80" t="str">
        <f t="shared" si="32"/>
        <v>---</v>
      </c>
      <c r="J92" s="80" t="str">
        <f t="shared" si="33"/>
        <v>---</v>
      </c>
      <c r="K92" s="50" t="str">
        <f t="shared" si="34"/>
        <v>---</v>
      </c>
      <c r="L92" s="81" t="str">
        <f t="shared" si="35"/>
        <v>---</v>
      </c>
      <c r="M92" s="42" t="str">
        <f t="shared" si="36"/>
        <v>offen</v>
      </c>
      <c r="N92" s="50"/>
      <c r="P92" s="135">
        <f t="shared" si="27"/>
        <v>1</v>
      </c>
      <c r="Q92" s="135">
        <f t="shared" si="28"/>
        <v>0</v>
      </c>
      <c r="R92" s="135">
        <f t="shared" si="29"/>
        <v>0</v>
      </c>
      <c r="S92" s="135">
        <f t="shared" si="30"/>
        <v>0</v>
      </c>
      <c r="T92" s="135">
        <f t="shared" si="31"/>
        <v>0</v>
      </c>
    </row>
    <row r="93" spans="1:20" ht="26.4">
      <c r="A93" s="334" t="str">
        <f t="shared" si="16"/>
        <v>1</v>
      </c>
      <c r="B93" s="51" t="s">
        <v>75</v>
      </c>
      <c r="C93" s="150" t="s">
        <v>464</v>
      </c>
      <c r="D93" s="55" t="s">
        <v>465</v>
      </c>
      <c r="E93" s="50" t="s">
        <v>113</v>
      </c>
      <c r="F93" s="50" t="s">
        <v>95</v>
      </c>
      <c r="G93" s="95"/>
      <c r="H93" s="317"/>
      <c r="I93" s="80" t="str">
        <f t="shared" si="32"/>
        <v>---</v>
      </c>
      <c r="J93" s="80" t="str">
        <f t="shared" si="33"/>
        <v>---</v>
      </c>
      <c r="K93" s="50" t="str">
        <f t="shared" si="34"/>
        <v>---</v>
      </c>
      <c r="L93" s="81" t="str">
        <f t="shared" si="35"/>
        <v>---</v>
      </c>
      <c r="M93" s="42" t="str">
        <f t="shared" si="36"/>
        <v>offen</v>
      </c>
      <c r="N93" s="50"/>
      <c r="P93" s="135">
        <f t="shared" si="27"/>
        <v>1</v>
      </c>
      <c r="Q93" s="135">
        <f t="shared" si="28"/>
        <v>0</v>
      </c>
      <c r="R93" s="135">
        <f t="shared" si="29"/>
        <v>0</v>
      </c>
      <c r="S93" s="135">
        <f t="shared" si="30"/>
        <v>0</v>
      </c>
      <c r="T93" s="135">
        <f t="shared" si="31"/>
        <v>0</v>
      </c>
    </row>
    <row r="94" spans="1:20">
      <c r="A94" s="334" t="str">
        <f t="shared" si="16"/>
        <v>1</v>
      </c>
      <c r="B94" s="51" t="s">
        <v>94</v>
      </c>
      <c r="C94" s="150" t="s">
        <v>466</v>
      </c>
      <c r="D94" s="55" t="s">
        <v>467</v>
      </c>
      <c r="E94" s="50" t="s">
        <v>113</v>
      </c>
      <c r="F94" s="50" t="s">
        <v>95</v>
      </c>
      <c r="G94" s="95"/>
      <c r="H94" s="317"/>
      <c r="I94" s="80">
        <f t="shared" si="32"/>
        <v>1</v>
      </c>
      <c r="J94" s="80">
        <f t="shared" si="33"/>
        <v>1</v>
      </c>
      <c r="K94" s="50">
        <f t="shared" si="34"/>
        <v>0</v>
      </c>
      <c r="L94" s="81">
        <f t="shared" si="35"/>
        <v>0</v>
      </c>
      <c r="M94" s="42" t="str">
        <f t="shared" si="36"/>
        <v>offen</v>
      </c>
      <c r="N94" s="50"/>
      <c r="O94" s="44">
        <v>1</v>
      </c>
      <c r="P94" s="135">
        <f t="shared" si="27"/>
        <v>0</v>
      </c>
      <c r="Q94" s="135">
        <f t="shared" si="28"/>
        <v>0</v>
      </c>
      <c r="R94" s="135">
        <f t="shared" si="29"/>
        <v>1</v>
      </c>
      <c r="S94" s="135">
        <f t="shared" si="30"/>
        <v>0</v>
      </c>
      <c r="T94" s="135">
        <f t="shared" si="31"/>
        <v>0</v>
      </c>
    </row>
    <row r="95" spans="1:20" ht="29.7" customHeight="1">
      <c r="A95" s="334" t="str">
        <f t="shared" si="16"/>
        <v>1</v>
      </c>
      <c r="B95" s="51" t="s">
        <v>94</v>
      </c>
      <c r="C95" s="150" t="s">
        <v>468</v>
      </c>
      <c r="D95" s="55" t="s">
        <v>469</v>
      </c>
      <c r="E95" s="50" t="s">
        <v>113</v>
      </c>
      <c r="F95" s="50" t="s">
        <v>95</v>
      </c>
      <c r="G95" s="95"/>
      <c r="H95" s="317"/>
      <c r="I95" s="80">
        <f t="shared" si="32"/>
        <v>1</v>
      </c>
      <c r="J95" s="80">
        <f t="shared" si="33"/>
        <v>1</v>
      </c>
      <c r="K95" s="50">
        <f t="shared" si="34"/>
        <v>0</v>
      </c>
      <c r="L95" s="81">
        <f t="shared" si="35"/>
        <v>0</v>
      </c>
      <c r="M95" s="42" t="str">
        <f t="shared" si="36"/>
        <v>offen</v>
      </c>
      <c r="N95" s="50"/>
      <c r="O95" s="44">
        <v>1</v>
      </c>
      <c r="P95" s="135">
        <f t="shared" si="27"/>
        <v>0</v>
      </c>
      <c r="Q95" s="135">
        <f t="shared" si="28"/>
        <v>0</v>
      </c>
      <c r="R95" s="135">
        <f t="shared" si="29"/>
        <v>1</v>
      </c>
      <c r="S95" s="135">
        <f t="shared" si="30"/>
        <v>0</v>
      </c>
      <c r="T95" s="135">
        <f t="shared" si="31"/>
        <v>0</v>
      </c>
    </row>
    <row r="96" spans="1:20" ht="39.6">
      <c r="A96" s="334" t="str">
        <f t="shared" ref="A96:A101" si="37">IF(D96="","","1")</f>
        <v>1</v>
      </c>
      <c r="B96" s="51" t="s">
        <v>75</v>
      </c>
      <c r="C96" s="150" t="s">
        <v>470</v>
      </c>
      <c r="D96" s="55" t="s">
        <v>471</v>
      </c>
      <c r="E96" s="50" t="s">
        <v>113</v>
      </c>
      <c r="F96" s="50" t="s">
        <v>95</v>
      </c>
      <c r="G96" s="95"/>
      <c r="H96" s="317"/>
      <c r="I96" s="80" t="str">
        <f t="shared" si="32"/>
        <v>---</v>
      </c>
      <c r="J96" s="80" t="str">
        <f t="shared" si="33"/>
        <v>---</v>
      </c>
      <c r="K96" s="50" t="str">
        <f t="shared" si="34"/>
        <v>---</v>
      </c>
      <c r="L96" s="81" t="str">
        <f t="shared" si="35"/>
        <v>---</v>
      </c>
      <c r="M96" s="42" t="str">
        <f t="shared" si="36"/>
        <v>offen</v>
      </c>
      <c r="N96" s="50"/>
      <c r="P96" s="135">
        <f t="shared" si="27"/>
        <v>1</v>
      </c>
      <c r="Q96" s="135">
        <f t="shared" si="28"/>
        <v>0</v>
      </c>
      <c r="R96" s="135">
        <f t="shared" si="29"/>
        <v>0</v>
      </c>
      <c r="S96" s="135">
        <f t="shared" si="30"/>
        <v>0</v>
      </c>
      <c r="T96" s="135">
        <f t="shared" si="31"/>
        <v>0</v>
      </c>
    </row>
    <row r="97" spans="1:20" ht="40.200000000000003" customHeight="1">
      <c r="A97" s="334" t="str">
        <f t="shared" si="37"/>
        <v>1</v>
      </c>
      <c r="B97" s="51" t="s">
        <v>75</v>
      </c>
      <c r="C97" s="150" t="s">
        <v>472</v>
      </c>
      <c r="D97" s="55" t="s">
        <v>473</v>
      </c>
      <c r="E97" s="50" t="s">
        <v>113</v>
      </c>
      <c r="F97" s="50" t="s">
        <v>95</v>
      </c>
      <c r="G97" s="95"/>
      <c r="H97" s="317"/>
      <c r="I97" s="80" t="str">
        <f t="shared" si="32"/>
        <v>---</v>
      </c>
      <c r="J97" s="80" t="str">
        <f t="shared" si="33"/>
        <v>---</v>
      </c>
      <c r="K97" s="50" t="str">
        <f t="shared" si="34"/>
        <v>---</v>
      </c>
      <c r="L97" s="81" t="str">
        <f t="shared" si="35"/>
        <v>---</v>
      </c>
      <c r="M97" s="42" t="str">
        <f t="shared" si="36"/>
        <v>offen</v>
      </c>
      <c r="N97" s="50"/>
      <c r="P97" s="135">
        <f t="shared" si="27"/>
        <v>1</v>
      </c>
      <c r="Q97" s="135">
        <f t="shared" si="28"/>
        <v>0</v>
      </c>
      <c r="R97" s="135">
        <f t="shared" si="29"/>
        <v>0</v>
      </c>
      <c r="S97" s="135">
        <f t="shared" si="30"/>
        <v>0</v>
      </c>
      <c r="T97" s="135">
        <f t="shared" si="31"/>
        <v>0</v>
      </c>
    </row>
    <row r="98" spans="1:20" ht="39.6">
      <c r="A98" s="334" t="str">
        <f t="shared" si="37"/>
        <v>1</v>
      </c>
      <c r="B98" s="51" t="s">
        <v>75</v>
      </c>
      <c r="C98" s="150" t="s">
        <v>474</v>
      </c>
      <c r="D98" s="55" t="s">
        <v>475</v>
      </c>
      <c r="E98" s="50" t="s">
        <v>113</v>
      </c>
      <c r="F98" s="50" t="s">
        <v>95</v>
      </c>
      <c r="G98" s="95"/>
      <c r="H98" s="317"/>
      <c r="I98" s="80" t="str">
        <f t="shared" si="32"/>
        <v>---</v>
      </c>
      <c r="J98" s="80" t="str">
        <f t="shared" si="33"/>
        <v>---</v>
      </c>
      <c r="K98" s="50" t="str">
        <f t="shared" si="34"/>
        <v>---</v>
      </c>
      <c r="L98" s="81" t="str">
        <f t="shared" si="35"/>
        <v>---</v>
      </c>
      <c r="M98" s="42" t="str">
        <f t="shared" si="36"/>
        <v>offen</v>
      </c>
      <c r="N98" s="50"/>
      <c r="P98" s="135">
        <f t="shared" si="27"/>
        <v>1</v>
      </c>
      <c r="Q98" s="135">
        <f t="shared" si="28"/>
        <v>0</v>
      </c>
      <c r="R98" s="135">
        <f t="shared" si="29"/>
        <v>0</v>
      </c>
      <c r="S98" s="135">
        <f t="shared" si="30"/>
        <v>0</v>
      </c>
      <c r="T98" s="135">
        <f t="shared" si="31"/>
        <v>0</v>
      </c>
    </row>
    <row r="99" spans="1:20" ht="46.95" customHeight="1">
      <c r="A99" s="334" t="str">
        <f t="shared" si="37"/>
        <v>1</v>
      </c>
      <c r="B99" s="51" t="s">
        <v>75</v>
      </c>
      <c r="C99" s="150" t="s">
        <v>476</v>
      </c>
      <c r="D99" s="55" t="s">
        <v>477</v>
      </c>
      <c r="E99" s="50" t="s">
        <v>113</v>
      </c>
      <c r="F99" s="50" t="s">
        <v>95</v>
      </c>
      <c r="G99" s="95"/>
      <c r="H99" s="317"/>
      <c r="I99" s="80" t="str">
        <f t="shared" si="32"/>
        <v>---</v>
      </c>
      <c r="J99" s="80" t="str">
        <f t="shared" si="33"/>
        <v>---</v>
      </c>
      <c r="K99" s="50" t="str">
        <f t="shared" si="34"/>
        <v>---</v>
      </c>
      <c r="L99" s="81" t="str">
        <f t="shared" si="35"/>
        <v>---</v>
      </c>
      <c r="M99" s="42" t="str">
        <f t="shared" si="36"/>
        <v>offen</v>
      </c>
      <c r="N99" s="50"/>
      <c r="P99" s="135">
        <f t="shared" si="27"/>
        <v>1</v>
      </c>
      <c r="Q99" s="135">
        <f t="shared" si="28"/>
        <v>0</v>
      </c>
      <c r="R99" s="135">
        <f t="shared" si="29"/>
        <v>0</v>
      </c>
      <c r="S99" s="135">
        <f t="shared" si="30"/>
        <v>0</v>
      </c>
      <c r="T99" s="135">
        <f t="shared" si="31"/>
        <v>0</v>
      </c>
    </row>
    <row r="100" spans="1:20" ht="66">
      <c r="A100" s="334" t="str">
        <f t="shared" si="37"/>
        <v>1</v>
      </c>
      <c r="B100" s="51" t="s">
        <v>75</v>
      </c>
      <c r="C100" s="150" t="s">
        <v>478</v>
      </c>
      <c r="D100" s="55" t="s">
        <v>479</v>
      </c>
      <c r="E100" s="50" t="s">
        <v>113</v>
      </c>
      <c r="F100" s="50" t="s">
        <v>95</v>
      </c>
      <c r="G100" s="95"/>
      <c r="H100" s="317"/>
      <c r="I100" s="80" t="str">
        <f t="shared" si="32"/>
        <v>---</v>
      </c>
      <c r="J100" s="80" t="str">
        <f t="shared" si="33"/>
        <v>---</v>
      </c>
      <c r="K100" s="50" t="str">
        <f t="shared" si="34"/>
        <v>---</v>
      </c>
      <c r="L100" s="81" t="str">
        <f t="shared" si="35"/>
        <v>---</v>
      </c>
      <c r="M100" s="42" t="str">
        <f t="shared" si="36"/>
        <v>offen</v>
      </c>
      <c r="N100" s="50"/>
      <c r="P100" s="135">
        <f t="shared" si="27"/>
        <v>1</v>
      </c>
      <c r="Q100" s="135">
        <f t="shared" si="28"/>
        <v>0</v>
      </c>
      <c r="R100" s="135">
        <f t="shared" si="29"/>
        <v>0</v>
      </c>
      <c r="S100" s="135">
        <f t="shared" si="30"/>
        <v>0</v>
      </c>
      <c r="T100" s="135">
        <f t="shared" si="31"/>
        <v>0</v>
      </c>
    </row>
    <row r="101" spans="1:20" ht="39.6">
      <c r="A101" s="334" t="str">
        <f t="shared" si="37"/>
        <v>1</v>
      </c>
      <c r="B101" s="51" t="s">
        <v>94</v>
      </c>
      <c r="C101" s="150" t="s">
        <v>480</v>
      </c>
      <c r="D101" s="55" t="s">
        <v>481</v>
      </c>
      <c r="E101" s="50" t="s">
        <v>113</v>
      </c>
      <c r="F101" s="50" t="s">
        <v>95</v>
      </c>
      <c r="G101" s="95"/>
      <c r="H101" s="317"/>
      <c r="I101" s="80">
        <f t="shared" si="32"/>
        <v>1</v>
      </c>
      <c r="J101" s="80">
        <f t="shared" si="33"/>
        <v>1</v>
      </c>
      <c r="K101" s="50">
        <f t="shared" si="34"/>
        <v>0</v>
      </c>
      <c r="L101" s="81">
        <f t="shared" si="35"/>
        <v>0</v>
      </c>
      <c r="M101" s="42" t="str">
        <f t="shared" si="36"/>
        <v>offen</v>
      </c>
      <c r="N101" s="50"/>
      <c r="O101" s="44">
        <v>1</v>
      </c>
      <c r="P101" s="135">
        <f t="shared" si="27"/>
        <v>0</v>
      </c>
      <c r="Q101" s="135">
        <f t="shared" si="28"/>
        <v>0</v>
      </c>
      <c r="R101" s="135">
        <f t="shared" si="29"/>
        <v>1</v>
      </c>
      <c r="S101" s="135">
        <f t="shared" si="30"/>
        <v>0</v>
      </c>
      <c r="T101" s="135">
        <f t="shared" si="31"/>
        <v>0</v>
      </c>
    </row>
  </sheetData>
  <sheetProtection algorithmName="SHA-512" hashValue="I7ay31oX3B4WczZvw8FcnK5tFovb15Szmi8BYw7tyr9v3oiAauqX4tkVoxsm5fYZ9Z4jfItlhJFZeqxF436gcg==" saltValue="/wkO3zEWI/F7xk+JJOdVtg==" spinCount="100000" sheet="1" selectLockedCells="1" sort="0" autoFilter="0"/>
  <protectedRanges>
    <protectedRange sqref="L9:T9 A9:I9 B76:F76 D91:D92 D74:D75 B10:F11 D17 E67:F75 E77:F101 D54:F66 C12:C20 B27:B28 D28:F28 B29:F36 B77:C101 F12:F27 E27 A10:A101 B52:F53 B54:C75 E37:F51 G10:T101" name="AllowSortFilter"/>
    <protectedRange sqref="J9:K9" name="AllowSortFilter_1"/>
    <protectedRange sqref="D67:D68" name="AllowSortFilter_2"/>
    <protectedRange sqref="D37:D51" name="AllowSortFilter_4"/>
    <protectedRange sqref="C37:C51" name="AllowSortFilter_5"/>
    <protectedRange sqref="B37:B51" name="AllowSortFilter_6"/>
    <protectedRange sqref="D77:D90 D93:D101" name="AllowSortFilter_7"/>
    <protectedRange sqref="D69:D73" name="AllowSortFilter_9"/>
    <protectedRange sqref="D12:D16 D18:D25 E12:E25 D27 C21:C28" name="AllowSortFilter_8"/>
    <protectedRange sqref="B12:B25" name="AllowSortFilter_10"/>
    <protectedRange sqref="B26 D26:E26" name="AllowSortFilter_11"/>
  </protectedRanges>
  <autoFilter ref="A9:M101" xr:uid="{00000000-0009-0000-0000-00000B000000}"/>
  <mergeCells count="3">
    <mergeCell ref="B3:E3"/>
    <mergeCell ref="F3:I3"/>
    <mergeCell ref="J3:M3"/>
  </mergeCells>
  <phoneticPr fontId="5" type="noConversion"/>
  <conditionalFormatting sqref="A10:A101">
    <cfRule type="expression" dxfId="62" priority="35">
      <formula>$A10="1"</formula>
    </cfRule>
  </conditionalFormatting>
  <conditionalFormatting sqref="B10:F51 O11:O30 G12:H27 I12:N29 B52:G75 H53:L75 M53:O81">
    <cfRule type="expression" dxfId="61" priority="16">
      <formula>IF($C10="",0,1)+IF($B10="",0,1)=1</formula>
    </cfRule>
  </conditionalFormatting>
  <conditionalFormatting sqref="D17">
    <cfRule type="expression" dxfId="60" priority="210">
      <formula>IF(#REF!="",0,1)+IF(#REF!="",0,1)=1</formula>
    </cfRule>
  </conditionalFormatting>
  <conditionalFormatting sqref="D27">
    <cfRule type="expression" dxfId="59" priority="202">
      <formula>IF(#REF!="",0,1)+IF(#REF!="",0,1)=1</formula>
    </cfRule>
  </conditionalFormatting>
  <conditionalFormatting sqref="D67:F68">
    <cfRule type="expression" dxfId="58" priority="236">
      <formula>IF(#REF!="",0,1)+IF(#REF!="",0,1)=1</formula>
    </cfRule>
  </conditionalFormatting>
  <conditionalFormatting sqref="G10:H27 G29:G35 H30:H35 G37:G39 H38:H39 G41:H51 G52:G67 H53:H67 G68:H75 G77:H81 G83:H101">
    <cfRule type="expression" dxfId="57" priority="33">
      <formula>$B10="B-Kriterium"</formula>
    </cfRule>
  </conditionalFormatting>
  <conditionalFormatting sqref="G10:H101">
    <cfRule type="expression" dxfId="56" priority="34">
      <formula>$B10="A-Kriterium"</formula>
    </cfRule>
  </conditionalFormatting>
  <conditionalFormatting sqref="G10:O10 G11:N11 H28:H29 G28:G40 H30:N30 H31:O37 G77:L81 B77:F101 G82:O101">
    <cfRule type="expression" dxfId="55" priority="29">
      <formula>IF($C10="",0,1)+IF($B10="",0,1)=1</formula>
    </cfRule>
  </conditionalFormatting>
  <conditionalFormatting sqref="G40:O40">
    <cfRule type="expression" dxfId="54" priority="10">
      <formula>IF($C40="",0,1)+IF($B40="",0,1)=1</formula>
    </cfRule>
  </conditionalFormatting>
  <conditionalFormatting sqref="H38:L39 G41:L51 B76:L76">
    <cfRule type="expression" dxfId="53" priority="30">
      <formula>IF($C38="",0,1)+IF($B38="",0,1)=1</formula>
    </cfRule>
  </conditionalFormatting>
  <conditionalFormatting sqref="M30:M35 M38:O39 M41:O51 M69:M81 H52:O52">
    <cfRule type="expression" dxfId="52" priority="39">
      <formula>IF($C30="",0,1)+IF($B30="",0,1)=1</formula>
    </cfRule>
  </conditionalFormatting>
  <conditionalFormatting sqref="M10:O35 M83:O101 M53:O81 M38:O39 M41:O51">
    <cfRule type="cellIs" dxfId="51" priority="36" operator="equal">
      <formula>"offen"</formula>
    </cfRule>
    <cfRule type="cellIs" dxfId="50" priority="37" operator="equal">
      <formula>"ok"</formula>
    </cfRule>
    <cfRule type="cellIs" dxfId="49" priority="38" operator="equal">
      <formula>"nok"</formula>
    </cfRule>
  </conditionalFormatting>
  <conditionalFormatting sqref="O10:O35 O38:O39 O41:O51 O53:O81 O83:O101">
    <cfRule type="expression" dxfId="48" priority="32">
      <formula>$B10="B-Kriterium"</formula>
    </cfRule>
  </conditionalFormatting>
  <dataValidations count="2">
    <dataValidation type="list" allowBlank="1" showInputMessage="1" showErrorMessage="1" sqref="B12:B26" xr:uid="{756B639D-DE23-4A81-B239-7405D558B037}">
      <formula1>" ,A-Kriterium,B-Kriterium"</formula1>
    </dataValidation>
    <dataValidation type="list" allowBlank="1" showInputMessage="1" showErrorMessage="1" sqref="G10:G20 G22:G39 G41:G101" xr:uid="{63389755-6D4D-48B0-84CF-6A64322EDD8A}">
      <formula1>"ja,nein"</formula1>
    </dataValidation>
  </dataValidations>
  <pageMargins left="0.7" right="0.7" top="0.78740157499999996" bottom="0.78740157499999996" header="0.3" footer="0.3"/>
  <pageSetup paperSize="9"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E5448CE-8650-4D64-A9CA-CD910C89C397}">
          <x14:formula1>
            <xm:f>Tabelle1!$A$2:$A$3</xm:f>
          </x14:formula1>
          <xm:sqref>B10:B11 B27:B1048576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DC05-C46A-443C-8A66-919EE70FC451}">
  <sheetPr>
    <tabColor rgb="FF1D466E"/>
  </sheetPr>
  <dimension ref="A1:U180"/>
  <sheetViews>
    <sheetView showGridLines="0" zoomScale="90" zoomScaleNormal="90" workbookViewId="0">
      <pane ySplit="9" topLeftCell="A10" activePane="bottomLeft" state="frozen"/>
      <selection pane="bottomLeft" activeCell="G173" sqref="G173"/>
    </sheetView>
  </sheetViews>
  <sheetFormatPr baseColWidth="10" defaultColWidth="10.44140625" defaultRowHeight="15" customHeight="1" outlineLevelCol="1"/>
  <cols>
    <col min="1" max="1" width="10.44140625" style="53"/>
    <col min="2" max="2" width="10.44140625" style="44"/>
    <col min="3" max="3" width="16.6640625" style="44" customWidth="1"/>
    <col min="4" max="4" width="91.44140625" style="10" customWidth="1"/>
    <col min="5" max="5" width="21.44140625" style="301" customWidth="1"/>
    <col min="6" max="6" width="18.44140625" style="42" customWidth="1"/>
    <col min="7" max="7" width="43.44140625" style="142" customWidth="1"/>
    <col min="8" max="8" width="24" style="66" customWidth="1"/>
    <col min="9" max="9" width="10.44140625" style="136" customWidth="1"/>
    <col min="10" max="10" width="11.44140625" style="136" customWidth="1"/>
    <col min="11" max="11" width="10.44140625" style="44" customWidth="1"/>
    <col min="12" max="12" width="10.44140625" style="136" customWidth="1"/>
    <col min="13" max="13" width="10.44140625" style="44"/>
    <col min="14" max="14" width="4.44140625" style="44" customWidth="1"/>
    <col min="15" max="15" width="7.6640625" style="44" hidden="1" customWidth="1" outlineLevel="1"/>
    <col min="16" max="19" width="10.44140625" style="52" hidden="1" customWidth="1" outlineLevel="1"/>
    <col min="20" max="20" width="4.6640625" style="52" hidden="1" customWidth="1" outlineLevel="1"/>
    <col min="21" max="21" width="10.44140625" collapsed="1"/>
    <col min="22" max="16384" width="10.44140625" style="44"/>
  </cols>
  <sheetData>
    <row r="1" spans="1:20" s="15" customFormat="1" ht="103.95" customHeight="1">
      <c r="A1" s="21"/>
      <c r="B1" s="13"/>
      <c r="C1" s="13"/>
      <c r="D1" s="43"/>
      <c r="E1" s="13"/>
      <c r="F1" s="13"/>
      <c r="G1" s="45"/>
      <c r="H1" s="13"/>
      <c r="I1" s="13"/>
      <c r="J1" s="13"/>
      <c r="K1" s="13"/>
      <c r="L1" s="13"/>
      <c r="M1" s="13"/>
      <c r="N1" s="13"/>
      <c r="O1" s="14"/>
      <c r="P1" s="14"/>
      <c r="Q1" s="14"/>
      <c r="R1" s="14"/>
      <c r="S1" s="14"/>
      <c r="T1" s="14"/>
    </row>
    <row r="2" spans="1:20" s="15" customFormat="1" ht="18">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210"/>
      <c r="F2" s="16"/>
      <c r="G2" s="16"/>
      <c r="H2" s="16"/>
      <c r="I2" s="24"/>
      <c r="J2" s="24"/>
      <c r="K2" s="12"/>
      <c r="L2" s="24"/>
      <c r="M2" s="12"/>
      <c r="N2" s="12"/>
      <c r="O2" s="14"/>
      <c r="P2" s="14"/>
      <c r="Q2" s="14"/>
      <c r="R2" s="14"/>
      <c r="S2" s="14"/>
      <c r="T2" s="14"/>
    </row>
    <row r="3" spans="1:20" s="89" customFormat="1" ht="38.25" customHeight="1">
      <c r="A3" s="87"/>
      <c r="B3" s="369" t="s">
        <v>482</v>
      </c>
      <c r="C3" s="369"/>
      <c r="D3" s="369"/>
      <c r="E3" s="369"/>
      <c r="F3" s="369"/>
      <c r="G3" s="369"/>
      <c r="H3" s="369"/>
      <c r="I3" s="369"/>
      <c r="J3" s="369"/>
      <c r="K3" s="369"/>
      <c r="L3" s="369"/>
      <c r="M3" s="369"/>
      <c r="N3" s="71"/>
      <c r="O3" s="88"/>
      <c r="P3" s="88"/>
      <c r="Q3" s="88"/>
      <c r="R3" s="88"/>
      <c r="S3" s="88"/>
      <c r="T3" s="88"/>
    </row>
    <row r="4" spans="1:20" s="19" customFormat="1" ht="13.2">
      <c r="A4" s="25"/>
      <c r="B4" s="17"/>
      <c r="C4" s="17"/>
      <c r="D4" s="97"/>
      <c r="E4" s="139"/>
      <c r="F4" s="18"/>
      <c r="G4" s="139"/>
      <c r="H4" s="18"/>
      <c r="I4" s="26"/>
      <c r="J4" s="26"/>
      <c r="K4" s="17"/>
      <c r="L4" s="26"/>
      <c r="M4" s="17"/>
      <c r="N4" s="17"/>
      <c r="O4" s="27"/>
      <c r="P4" s="27"/>
      <c r="Q4" s="27"/>
      <c r="R4" s="27"/>
      <c r="S4" s="27"/>
      <c r="T4" s="27"/>
    </row>
    <row r="5" spans="1:20" s="15" customFormat="1" ht="14.7" customHeight="1">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136 Fragen noch nicht beantwortet. Bitte machen Sie Ihre Angaben in allen noch offenen von 'Bieter/in' auszufüllenden Feldern 'Auskunft' und optional 'Kommentar'.</v>
      </c>
      <c r="D5" s="98"/>
      <c r="E5" s="140"/>
      <c r="F5" s="30"/>
      <c r="G5" s="140"/>
      <c r="H5" s="79"/>
      <c r="I5" s="31"/>
      <c r="J5" s="31"/>
      <c r="K5" s="32"/>
      <c r="L5" s="33"/>
      <c r="M5" s="32"/>
      <c r="N5" s="32"/>
      <c r="O5" s="34" t="s">
        <v>230</v>
      </c>
      <c r="P5" s="34"/>
      <c r="Q5" s="34"/>
      <c r="R5" s="34"/>
      <c r="S5" s="34"/>
      <c r="T5" s="34"/>
    </row>
    <row r="6" spans="1:20" s="15" customFormat="1" ht="14.7" customHeight="1">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140"/>
      <c r="F6" s="30"/>
      <c r="G6" s="140"/>
      <c r="H6" s="79"/>
      <c r="I6" s="31"/>
      <c r="J6" s="31"/>
      <c r="K6" s="32"/>
      <c r="L6" s="33"/>
      <c r="M6" s="32"/>
      <c r="N6" s="32"/>
      <c r="O6" s="14"/>
      <c r="P6" s="14"/>
      <c r="Q6" s="14"/>
      <c r="R6" s="14"/>
      <c r="S6" s="14"/>
      <c r="T6" s="14"/>
    </row>
    <row r="7" spans="1:20" s="15" customFormat="1" ht="13.2">
      <c r="A7" s="25"/>
      <c r="B7" s="32"/>
      <c r="C7" s="29" t="str">
        <f>IF(COUNTIF(B10:B272,"B-Kriterium")&gt;0,CONCATENATE("Es wurden ",COUNTIF(B10:B272,"B-Kriterium")-SUM(R8:S8)," von ",COUNTIF(B10:B272,"B-Kriterium")," B-Kriterien beantwortet und ",ROUND(SUM(L:L),2)," von möglichen ",SUM(J:J)," Punkten erreicht."),"")</f>
        <v>Es wurden 0 von 108 B-Kriterien beantwortet und 0 von möglichen 252 Punkten erreicht.</v>
      </c>
      <c r="D7" s="98"/>
      <c r="E7" s="140"/>
      <c r="F7" s="30"/>
      <c r="G7" s="140"/>
      <c r="H7" s="79"/>
      <c r="I7" s="31"/>
      <c r="J7" s="31"/>
      <c r="K7" s="32"/>
      <c r="L7" s="33"/>
      <c r="M7" s="32"/>
      <c r="N7" s="32"/>
      <c r="O7" s="14"/>
      <c r="P7" s="14"/>
      <c r="Q7" s="14"/>
      <c r="R7" s="14"/>
      <c r="S7" s="14"/>
      <c r="T7" s="14"/>
    </row>
    <row r="8" spans="1:20" s="15" customFormat="1" ht="13.2">
      <c r="A8" s="25"/>
      <c r="B8" s="32"/>
      <c r="C8" s="32"/>
      <c r="D8" s="75"/>
      <c r="E8" s="141"/>
      <c r="F8" s="79"/>
      <c r="G8" s="141"/>
      <c r="H8" s="79"/>
      <c r="I8" s="33"/>
      <c r="J8" s="33"/>
      <c r="K8" s="32"/>
      <c r="L8" s="33"/>
      <c r="M8" s="32"/>
      <c r="N8" s="32"/>
      <c r="O8" s="35"/>
      <c r="P8" s="14">
        <f>SUM(P9:P272)</f>
        <v>28</v>
      </c>
      <c r="Q8" s="14">
        <f>SUM(Q9:Q272)</f>
        <v>0</v>
      </c>
      <c r="R8" s="14">
        <f>SUM(R9:R272)</f>
        <v>108</v>
      </c>
      <c r="S8" s="14">
        <f>SUM(S9:S272)</f>
        <v>0</v>
      </c>
      <c r="T8" s="14">
        <f>SUM(T9:T272)</f>
        <v>0</v>
      </c>
    </row>
    <row r="9" spans="1:20" s="15" customFormat="1" ht="52.8">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row>
    <row r="10" spans="1:20" ht="14.4">
      <c r="A10" s="53" t="str">
        <f t="shared" ref="A10:A38" si="0">IF(D10="","","1")</f>
        <v>1</v>
      </c>
      <c r="B10" s="51" t="s">
        <v>153</v>
      </c>
      <c r="C10" s="150" t="s">
        <v>483</v>
      </c>
      <c r="D10" s="55" t="s">
        <v>484</v>
      </c>
      <c r="E10" s="290" t="s">
        <v>153</v>
      </c>
      <c r="F10" s="50" t="s">
        <v>153</v>
      </c>
      <c r="G10" s="316"/>
      <c r="H10" s="317"/>
      <c r="I10" s="80" t="str">
        <f t="shared" ref="I10:I40" si="1">IF(B10="","",IF(B10="B-Kriterium",1,"---"))</f>
        <v/>
      </c>
      <c r="J10" s="80" t="str">
        <f t="shared" ref="J10:J40" si="2">IF(B10="","",IF(B10="A-Kriterium","---",O10))</f>
        <v/>
      </c>
      <c r="K10" s="50" t="str">
        <f t="shared" ref="K10:K40" si="3">IF($B10="A-Kriterium","---",IF(B10="","",IF(AND(B10="B-Kriterium",G10="ja"),J10,0)))</f>
        <v/>
      </c>
      <c r="L10" s="81" t="str">
        <f t="shared" ref="L10:L40" si="4">IF(B10="A-Kriterium","---",IF(B10="","",I10*K10))</f>
        <v/>
      </c>
      <c r="M10" s="42" t="str">
        <f>IF(AND(ISBLANK(G10)=FALSE,B10="B-Kriterium"),"ok",IF($B10="","",_xlfn.IFNA(VLOOKUP(G10,#REF!,2,FALSE),"offen")))</f>
        <v/>
      </c>
      <c r="N10" s="50"/>
      <c r="P10" s="135">
        <f t="shared" ref="P10:P40" si="5">IF(AND($F10="Bieter/in",$B10="A-Kriterium",$M10=P$9),1,0)</f>
        <v>0</v>
      </c>
      <c r="Q10" s="135">
        <f t="shared" ref="Q10:Q40" si="6">IF(AND($F10="Auftragsgeber/in",$B10="A-Kriterium",$M10=Q$9),1,0)</f>
        <v>0</v>
      </c>
      <c r="R10" s="135">
        <f t="shared" ref="R10:R40" si="7">IF(AND($F10="Bieter/in",$B10="B-Kriterium",$M10=R$9),1,0)</f>
        <v>0</v>
      </c>
      <c r="S10" s="135">
        <f t="shared" ref="S10:S40" si="8">IF(AND($F10="Auftragsgeber/in",$B10="B-Kriterium",$M10=S$9),1,0)</f>
        <v>0</v>
      </c>
      <c r="T10" s="135">
        <f t="shared" ref="T10:T40" si="9">IF(M10="nok",1,0)</f>
        <v>0</v>
      </c>
    </row>
    <row r="11" spans="1:20" customFormat="1" ht="31.2" customHeight="1">
      <c r="A11" s="53" t="str">
        <f t="shared" si="0"/>
        <v>1</v>
      </c>
      <c r="B11" s="51" t="s">
        <v>94</v>
      </c>
      <c r="C11" s="51" t="s">
        <v>485</v>
      </c>
      <c r="D11" s="55" t="s">
        <v>486</v>
      </c>
      <c r="E11" s="290" t="s">
        <v>113</v>
      </c>
      <c r="F11" s="50" t="s">
        <v>95</v>
      </c>
      <c r="G11" s="95"/>
      <c r="H11" s="100"/>
      <c r="I11" s="80">
        <f t="shared" si="1"/>
        <v>1</v>
      </c>
      <c r="J11" s="80">
        <f t="shared" si="2"/>
        <v>5</v>
      </c>
      <c r="K11" s="50">
        <f t="shared" si="3"/>
        <v>0</v>
      </c>
      <c r="L11" s="81">
        <f t="shared" si="4"/>
        <v>0</v>
      </c>
      <c r="M11" s="42" t="str">
        <f t="shared" ref="M11:M41" si="10">IF(AND(ISBLANK(G11)=FALSE,B11="B-Kriterium"),"ok",IF($B11="","",IF(AND(B11="A-Kriterium",G11="ja"),"ok",IF(AND(B11="A-Kriterium",G11="nein"),"nok","offen"))))</f>
        <v>offen</v>
      </c>
      <c r="N11" s="50"/>
      <c r="O11" s="44">
        <v>5</v>
      </c>
      <c r="P11" s="135">
        <f t="shared" si="5"/>
        <v>0</v>
      </c>
      <c r="Q11" s="135">
        <f t="shared" si="6"/>
        <v>0</v>
      </c>
      <c r="R11" s="135">
        <f t="shared" si="7"/>
        <v>1</v>
      </c>
      <c r="S11" s="135">
        <f t="shared" si="8"/>
        <v>0</v>
      </c>
      <c r="T11" s="135">
        <f t="shared" si="9"/>
        <v>0</v>
      </c>
    </row>
    <row r="12" spans="1:20" customFormat="1" ht="14.4">
      <c r="A12" s="53" t="str">
        <f t="shared" si="0"/>
        <v>1</v>
      </c>
      <c r="B12" s="51" t="s">
        <v>75</v>
      </c>
      <c r="C12" s="51" t="s">
        <v>487</v>
      </c>
      <c r="D12" s="55" t="s">
        <v>488</v>
      </c>
      <c r="E12" s="290" t="s">
        <v>113</v>
      </c>
      <c r="F12" s="50" t="s">
        <v>95</v>
      </c>
      <c r="G12" s="95"/>
      <c r="H12" s="100"/>
      <c r="I12" s="80" t="str">
        <f t="shared" si="1"/>
        <v>---</v>
      </c>
      <c r="J12" s="80" t="str">
        <f t="shared" si="2"/>
        <v>---</v>
      </c>
      <c r="K12" s="50" t="str">
        <f t="shared" si="3"/>
        <v>---</v>
      </c>
      <c r="L12" s="81" t="str">
        <f t="shared" si="4"/>
        <v>---</v>
      </c>
      <c r="M12" s="42" t="str">
        <f t="shared" si="10"/>
        <v>offen</v>
      </c>
      <c r="N12" s="50"/>
      <c r="O12" s="44"/>
      <c r="P12" s="135">
        <f t="shared" si="5"/>
        <v>1</v>
      </c>
      <c r="Q12" s="135">
        <f t="shared" si="6"/>
        <v>0</v>
      </c>
      <c r="R12" s="135">
        <f t="shared" si="7"/>
        <v>0</v>
      </c>
      <c r="S12" s="135">
        <f t="shared" si="8"/>
        <v>0</v>
      </c>
      <c r="T12" s="135">
        <f t="shared" si="9"/>
        <v>0</v>
      </c>
    </row>
    <row r="13" spans="1:20" customFormat="1" ht="14.4">
      <c r="A13" s="53" t="str">
        <f t="shared" si="0"/>
        <v>1</v>
      </c>
      <c r="B13" s="32"/>
      <c r="C13" s="32"/>
      <c r="D13" s="75" t="s">
        <v>489</v>
      </c>
      <c r="E13" s="290"/>
      <c r="F13" s="50"/>
      <c r="G13" s="79"/>
      <c r="H13" s="315"/>
      <c r="I13" s="80" t="str">
        <f t="shared" si="1"/>
        <v/>
      </c>
      <c r="J13" s="80" t="str">
        <f t="shared" si="2"/>
        <v/>
      </c>
      <c r="K13" s="50" t="str">
        <f t="shared" si="3"/>
        <v/>
      </c>
      <c r="L13" s="81" t="str">
        <f t="shared" si="4"/>
        <v/>
      </c>
      <c r="M13" s="81" t="str">
        <f t="shared" si="10"/>
        <v/>
      </c>
      <c r="N13" s="79"/>
      <c r="O13" s="15"/>
      <c r="P13" s="135">
        <f t="shared" si="5"/>
        <v>0</v>
      </c>
      <c r="Q13" s="135">
        <f t="shared" si="6"/>
        <v>0</v>
      </c>
      <c r="R13" s="135">
        <f t="shared" si="7"/>
        <v>0</v>
      </c>
      <c r="S13" s="135">
        <f t="shared" si="8"/>
        <v>0</v>
      </c>
      <c r="T13" s="135">
        <f t="shared" si="9"/>
        <v>0</v>
      </c>
    </row>
    <row r="14" spans="1:20" customFormat="1" ht="14.4">
      <c r="A14" s="53" t="str">
        <f t="shared" si="0"/>
        <v>1</v>
      </c>
      <c r="B14" s="32" t="s">
        <v>94</v>
      </c>
      <c r="C14" s="32" t="s">
        <v>490</v>
      </c>
      <c r="D14" s="267" t="s">
        <v>491</v>
      </c>
      <c r="E14" s="290" t="s">
        <v>113</v>
      </c>
      <c r="F14" s="50" t="s">
        <v>95</v>
      </c>
      <c r="G14" s="95"/>
      <c r="H14" s="100"/>
      <c r="I14" s="80">
        <f t="shared" si="1"/>
        <v>1</v>
      </c>
      <c r="J14" s="80">
        <f t="shared" si="2"/>
        <v>1</v>
      </c>
      <c r="K14" s="50">
        <f t="shared" si="3"/>
        <v>0</v>
      </c>
      <c r="L14" s="81">
        <f t="shared" si="4"/>
        <v>0</v>
      </c>
      <c r="M14" s="42" t="str">
        <f t="shared" si="10"/>
        <v>offen</v>
      </c>
      <c r="N14" s="79"/>
      <c r="O14" s="15">
        <v>1</v>
      </c>
      <c r="P14" s="135">
        <f t="shared" si="5"/>
        <v>0</v>
      </c>
      <c r="Q14" s="135">
        <f t="shared" si="6"/>
        <v>0</v>
      </c>
      <c r="R14" s="135">
        <f t="shared" si="7"/>
        <v>1</v>
      </c>
      <c r="S14" s="135">
        <f t="shared" si="8"/>
        <v>0</v>
      </c>
      <c r="T14" s="135">
        <f t="shared" si="9"/>
        <v>0</v>
      </c>
    </row>
    <row r="15" spans="1:20" customFormat="1" ht="14.4">
      <c r="A15" s="53" t="str">
        <f t="shared" si="0"/>
        <v>1</v>
      </c>
      <c r="B15" s="32" t="s">
        <v>94</v>
      </c>
      <c r="C15" s="32" t="s">
        <v>492</v>
      </c>
      <c r="D15" s="267" t="s">
        <v>493</v>
      </c>
      <c r="E15" s="290" t="s">
        <v>113</v>
      </c>
      <c r="F15" s="50" t="s">
        <v>95</v>
      </c>
      <c r="G15" s="95"/>
      <c r="H15" s="100"/>
      <c r="I15" s="80">
        <f t="shared" si="1"/>
        <v>1</v>
      </c>
      <c r="J15" s="80">
        <f t="shared" si="2"/>
        <v>1</v>
      </c>
      <c r="K15" s="50">
        <f t="shared" si="3"/>
        <v>0</v>
      </c>
      <c r="L15" s="81">
        <f t="shared" si="4"/>
        <v>0</v>
      </c>
      <c r="M15" s="42" t="str">
        <f t="shared" si="10"/>
        <v>offen</v>
      </c>
      <c r="N15" s="79"/>
      <c r="O15" s="15">
        <v>1</v>
      </c>
      <c r="P15" s="135">
        <f t="shared" si="5"/>
        <v>0</v>
      </c>
      <c r="Q15" s="135">
        <f t="shared" si="6"/>
        <v>0</v>
      </c>
      <c r="R15" s="135">
        <f t="shared" si="7"/>
        <v>1</v>
      </c>
      <c r="S15" s="135">
        <f t="shared" si="8"/>
        <v>0</v>
      </c>
      <c r="T15" s="135">
        <f t="shared" si="9"/>
        <v>0</v>
      </c>
    </row>
    <row r="16" spans="1:20" customFormat="1" ht="14.4">
      <c r="A16" s="53" t="str">
        <f t="shared" si="0"/>
        <v>1</v>
      </c>
      <c r="B16" s="32" t="s">
        <v>94</v>
      </c>
      <c r="C16" s="32" t="s">
        <v>494</v>
      </c>
      <c r="D16" s="267" t="s">
        <v>495</v>
      </c>
      <c r="E16" s="290" t="s">
        <v>113</v>
      </c>
      <c r="F16" s="50" t="s">
        <v>95</v>
      </c>
      <c r="G16" s="95"/>
      <c r="H16" s="100"/>
      <c r="I16" s="80">
        <f t="shared" si="1"/>
        <v>1</v>
      </c>
      <c r="J16" s="80">
        <f t="shared" si="2"/>
        <v>1</v>
      </c>
      <c r="K16" s="50">
        <f t="shared" si="3"/>
        <v>0</v>
      </c>
      <c r="L16" s="81">
        <f t="shared" si="4"/>
        <v>0</v>
      </c>
      <c r="M16" s="42" t="str">
        <f t="shared" si="10"/>
        <v>offen</v>
      </c>
      <c r="N16" s="79"/>
      <c r="O16" s="15">
        <v>1</v>
      </c>
      <c r="P16" s="135">
        <f t="shared" si="5"/>
        <v>0</v>
      </c>
      <c r="Q16" s="135">
        <f t="shared" si="6"/>
        <v>0</v>
      </c>
      <c r="R16" s="135">
        <f t="shared" si="7"/>
        <v>1</v>
      </c>
      <c r="S16" s="135">
        <f t="shared" si="8"/>
        <v>0</v>
      </c>
      <c r="T16" s="135">
        <f t="shared" si="9"/>
        <v>0</v>
      </c>
    </row>
    <row r="17" spans="1:20" customFormat="1" ht="14.4">
      <c r="A17" s="53" t="str">
        <f t="shared" si="0"/>
        <v>1</v>
      </c>
      <c r="B17" s="32" t="s">
        <v>94</v>
      </c>
      <c r="C17" s="32" t="s">
        <v>496</v>
      </c>
      <c r="D17" s="267" t="s">
        <v>497</v>
      </c>
      <c r="E17" s="290" t="s">
        <v>113</v>
      </c>
      <c r="F17" s="50" t="s">
        <v>95</v>
      </c>
      <c r="G17" s="95"/>
      <c r="H17" s="100"/>
      <c r="I17" s="80">
        <f t="shared" si="1"/>
        <v>1</v>
      </c>
      <c r="J17" s="80">
        <f t="shared" si="2"/>
        <v>1</v>
      </c>
      <c r="K17" s="50">
        <f t="shared" si="3"/>
        <v>0</v>
      </c>
      <c r="L17" s="81">
        <f t="shared" si="4"/>
        <v>0</v>
      </c>
      <c r="M17" s="42" t="str">
        <f t="shared" si="10"/>
        <v>offen</v>
      </c>
      <c r="N17" s="79"/>
      <c r="O17" s="15">
        <v>1</v>
      </c>
      <c r="P17" s="135">
        <f t="shared" si="5"/>
        <v>0</v>
      </c>
      <c r="Q17" s="135">
        <f t="shared" si="6"/>
        <v>0</v>
      </c>
      <c r="R17" s="135">
        <f t="shared" si="7"/>
        <v>1</v>
      </c>
      <c r="S17" s="135">
        <f t="shared" si="8"/>
        <v>0</v>
      </c>
      <c r="T17" s="135">
        <f t="shared" si="9"/>
        <v>0</v>
      </c>
    </row>
    <row r="18" spans="1:20" customFormat="1" ht="14.4">
      <c r="A18" s="53" t="str">
        <f t="shared" si="0"/>
        <v>1</v>
      </c>
      <c r="B18" s="32" t="s">
        <v>94</v>
      </c>
      <c r="C18" s="32" t="s">
        <v>498</v>
      </c>
      <c r="D18" s="267" t="s">
        <v>499</v>
      </c>
      <c r="E18" s="290" t="s">
        <v>113</v>
      </c>
      <c r="F18" s="50" t="s">
        <v>95</v>
      </c>
      <c r="G18" s="95"/>
      <c r="H18" s="100"/>
      <c r="I18" s="80">
        <f t="shared" si="1"/>
        <v>1</v>
      </c>
      <c r="J18" s="80">
        <f t="shared" si="2"/>
        <v>1</v>
      </c>
      <c r="K18" s="50">
        <f t="shared" si="3"/>
        <v>0</v>
      </c>
      <c r="L18" s="81">
        <f t="shared" si="4"/>
        <v>0</v>
      </c>
      <c r="M18" s="42" t="str">
        <f t="shared" si="10"/>
        <v>offen</v>
      </c>
      <c r="N18" s="79"/>
      <c r="O18" s="15">
        <v>1</v>
      </c>
      <c r="P18" s="135">
        <f t="shared" si="5"/>
        <v>0</v>
      </c>
      <c r="Q18" s="135">
        <f t="shared" si="6"/>
        <v>0</v>
      </c>
      <c r="R18" s="135">
        <f t="shared" si="7"/>
        <v>1</v>
      </c>
      <c r="S18" s="135">
        <f t="shared" si="8"/>
        <v>0</v>
      </c>
      <c r="T18" s="135">
        <f t="shared" si="9"/>
        <v>0</v>
      </c>
    </row>
    <row r="19" spans="1:20" customFormat="1" ht="14.4">
      <c r="A19" s="53" t="str">
        <f t="shared" si="0"/>
        <v>1</v>
      </c>
      <c r="B19" s="32" t="s">
        <v>94</v>
      </c>
      <c r="C19" s="32" t="s">
        <v>500</v>
      </c>
      <c r="D19" s="267" t="s">
        <v>501</v>
      </c>
      <c r="E19" s="290" t="s">
        <v>113</v>
      </c>
      <c r="F19" s="50" t="s">
        <v>95</v>
      </c>
      <c r="G19" s="95"/>
      <c r="H19" s="100"/>
      <c r="I19" s="80">
        <f t="shared" si="1"/>
        <v>1</v>
      </c>
      <c r="J19" s="80">
        <f t="shared" si="2"/>
        <v>1</v>
      </c>
      <c r="K19" s="50">
        <f t="shared" si="3"/>
        <v>0</v>
      </c>
      <c r="L19" s="81">
        <f t="shared" si="4"/>
        <v>0</v>
      </c>
      <c r="M19" s="42" t="str">
        <f t="shared" si="10"/>
        <v>offen</v>
      </c>
      <c r="N19" s="79"/>
      <c r="O19" s="15">
        <v>1</v>
      </c>
      <c r="P19" s="135">
        <f t="shared" si="5"/>
        <v>0</v>
      </c>
      <c r="Q19" s="135">
        <f t="shared" si="6"/>
        <v>0</v>
      </c>
      <c r="R19" s="135">
        <f t="shared" si="7"/>
        <v>1</v>
      </c>
      <c r="S19" s="135">
        <f t="shared" si="8"/>
        <v>0</v>
      </c>
      <c r="T19" s="135">
        <f t="shared" si="9"/>
        <v>0</v>
      </c>
    </row>
    <row r="20" spans="1:20" customFormat="1" ht="14.4">
      <c r="A20" s="53" t="str">
        <f t="shared" si="0"/>
        <v>1</v>
      </c>
      <c r="B20" s="32" t="s">
        <v>94</v>
      </c>
      <c r="C20" s="32" t="s">
        <v>502</v>
      </c>
      <c r="D20" s="267" t="s">
        <v>503</v>
      </c>
      <c r="E20" s="290" t="s">
        <v>113</v>
      </c>
      <c r="F20" s="50" t="s">
        <v>95</v>
      </c>
      <c r="G20" s="95"/>
      <c r="H20" s="100"/>
      <c r="I20" s="80">
        <f t="shared" si="1"/>
        <v>1</v>
      </c>
      <c r="J20" s="80">
        <f t="shared" si="2"/>
        <v>1</v>
      </c>
      <c r="K20" s="50">
        <f t="shared" si="3"/>
        <v>0</v>
      </c>
      <c r="L20" s="81">
        <f t="shared" si="4"/>
        <v>0</v>
      </c>
      <c r="M20" s="42" t="str">
        <f t="shared" si="10"/>
        <v>offen</v>
      </c>
      <c r="N20" s="79"/>
      <c r="O20" s="15">
        <v>1</v>
      </c>
      <c r="P20" s="135">
        <f t="shared" si="5"/>
        <v>0</v>
      </c>
      <c r="Q20" s="135">
        <f t="shared" si="6"/>
        <v>0</v>
      </c>
      <c r="R20" s="135">
        <f t="shared" si="7"/>
        <v>1</v>
      </c>
      <c r="S20" s="135">
        <f t="shared" si="8"/>
        <v>0</v>
      </c>
      <c r="T20" s="135">
        <f t="shared" si="9"/>
        <v>0</v>
      </c>
    </row>
    <row r="21" spans="1:20" customFormat="1" ht="14.4">
      <c r="A21" s="53" t="str">
        <f t="shared" si="0"/>
        <v>1</v>
      </c>
      <c r="B21" s="32" t="s">
        <v>75</v>
      </c>
      <c r="C21" s="32" t="s">
        <v>504</v>
      </c>
      <c r="D21" s="267" t="s">
        <v>505</v>
      </c>
      <c r="E21" s="290" t="s">
        <v>113</v>
      </c>
      <c r="F21" s="50" t="s">
        <v>95</v>
      </c>
      <c r="G21" s="95"/>
      <c r="H21" s="100"/>
      <c r="I21" s="80" t="str">
        <f t="shared" si="1"/>
        <v>---</v>
      </c>
      <c r="J21" s="80" t="str">
        <f t="shared" si="2"/>
        <v>---</v>
      </c>
      <c r="K21" s="50" t="str">
        <f t="shared" si="3"/>
        <v>---</v>
      </c>
      <c r="L21" s="81" t="str">
        <f t="shared" si="4"/>
        <v>---</v>
      </c>
      <c r="M21" s="42" t="str">
        <f t="shared" si="10"/>
        <v>offen</v>
      </c>
      <c r="N21" s="79"/>
      <c r="O21" s="15"/>
      <c r="P21" s="135">
        <f t="shared" si="5"/>
        <v>1</v>
      </c>
      <c r="Q21" s="135">
        <f t="shared" si="6"/>
        <v>0</v>
      </c>
      <c r="R21" s="135">
        <f t="shared" si="7"/>
        <v>0</v>
      </c>
      <c r="S21" s="135">
        <f t="shared" si="8"/>
        <v>0</v>
      </c>
      <c r="T21" s="135">
        <f t="shared" si="9"/>
        <v>0</v>
      </c>
    </row>
    <row r="22" spans="1:20" customFormat="1" ht="14.4">
      <c r="A22" s="53" t="str">
        <f t="shared" si="0"/>
        <v>1</v>
      </c>
      <c r="B22" s="32" t="s">
        <v>94</v>
      </c>
      <c r="C22" s="32" t="s">
        <v>506</v>
      </c>
      <c r="D22" s="267" t="s">
        <v>507</v>
      </c>
      <c r="E22" s="290" t="s">
        <v>113</v>
      </c>
      <c r="F22" s="50" t="s">
        <v>95</v>
      </c>
      <c r="G22" s="95"/>
      <c r="H22" s="100"/>
      <c r="I22" s="80">
        <f t="shared" si="1"/>
        <v>1</v>
      </c>
      <c r="J22" s="80">
        <f t="shared" si="2"/>
        <v>1</v>
      </c>
      <c r="K22" s="50">
        <f t="shared" si="3"/>
        <v>0</v>
      </c>
      <c r="L22" s="81">
        <f t="shared" si="4"/>
        <v>0</v>
      </c>
      <c r="M22" s="42" t="str">
        <f t="shared" si="10"/>
        <v>offen</v>
      </c>
      <c r="N22" s="79"/>
      <c r="O22" s="15">
        <v>1</v>
      </c>
      <c r="P22" s="135">
        <f t="shared" si="5"/>
        <v>0</v>
      </c>
      <c r="Q22" s="135">
        <f t="shared" si="6"/>
        <v>0</v>
      </c>
      <c r="R22" s="135">
        <f t="shared" si="7"/>
        <v>1</v>
      </c>
      <c r="S22" s="135">
        <f t="shared" si="8"/>
        <v>0</v>
      </c>
      <c r="T22" s="135">
        <f t="shared" si="9"/>
        <v>0</v>
      </c>
    </row>
    <row r="23" spans="1:20" customFormat="1" ht="14.4">
      <c r="A23" s="53" t="str">
        <f t="shared" si="0"/>
        <v>1</v>
      </c>
      <c r="B23" s="32" t="s">
        <v>94</v>
      </c>
      <c r="C23" s="32" t="s">
        <v>508</v>
      </c>
      <c r="D23" s="267" t="s">
        <v>509</v>
      </c>
      <c r="E23" s="290" t="s">
        <v>113</v>
      </c>
      <c r="F23" s="50" t="s">
        <v>95</v>
      </c>
      <c r="G23" s="95"/>
      <c r="H23" s="100"/>
      <c r="I23" s="80">
        <f t="shared" si="1"/>
        <v>1</v>
      </c>
      <c r="J23" s="80">
        <f t="shared" si="2"/>
        <v>1</v>
      </c>
      <c r="K23" s="50">
        <f t="shared" si="3"/>
        <v>0</v>
      </c>
      <c r="L23" s="81">
        <f t="shared" si="4"/>
        <v>0</v>
      </c>
      <c r="M23" s="42" t="str">
        <f t="shared" si="10"/>
        <v>offen</v>
      </c>
      <c r="N23" s="79"/>
      <c r="O23" s="15">
        <v>1</v>
      </c>
      <c r="P23" s="135">
        <f t="shared" si="5"/>
        <v>0</v>
      </c>
      <c r="Q23" s="135">
        <f t="shared" si="6"/>
        <v>0</v>
      </c>
      <c r="R23" s="135">
        <f t="shared" si="7"/>
        <v>1</v>
      </c>
      <c r="S23" s="135">
        <f t="shared" si="8"/>
        <v>0</v>
      </c>
      <c r="T23" s="135">
        <f t="shared" si="9"/>
        <v>0</v>
      </c>
    </row>
    <row r="24" spans="1:20" customFormat="1" ht="14.4">
      <c r="A24" s="53" t="str">
        <f t="shared" si="0"/>
        <v>1</v>
      </c>
      <c r="B24" s="32" t="s">
        <v>94</v>
      </c>
      <c r="C24" s="32" t="s">
        <v>510</v>
      </c>
      <c r="D24" s="267" t="s">
        <v>511</v>
      </c>
      <c r="E24" s="290" t="s">
        <v>113</v>
      </c>
      <c r="F24" s="50" t="s">
        <v>95</v>
      </c>
      <c r="G24" s="95"/>
      <c r="H24" s="100"/>
      <c r="I24" s="80">
        <f t="shared" si="1"/>
        <v>1</v>
      </c>
      <c r="J24" s="80">
        <f t="shared" si="2"/>
        <v>1</v>
      </c>
      <c r="K24" s="50">
        <f t="shared" si="3"/>
        <v>0</v>
      </c>
      <c r="L24" s="81">
        <f t="shared" si="4"/>
        <v>0</v>
      </c>
      <c r="M24" s="42" t="str">
        <f t="shared" si="10"/>
        <v>offen</v>
      </c>
      <c r="N24" s="79"/>
      <c r="O24" s="15">
        <v>1</v>
      </c>
      <c r="P24" s="135">
        <f t="shared" si="5"/>
        <v>0</v>
      </c>
      <c r="Q24" s="135">
        <f t="shared" si="6"/>
        <v>0</v>
      </c>
      <c r="R24" s="135">
        <f t="shared" si="7"/>
        <v>1</v>
      </c>
      <c r="S24" s="135">
        <f t="shared" si="8"/>
        <v>0</v>
      </c>
      <c r="T24" s="135">
        <f t="shared" si="9"/>
        <v>0</v>
      </c>
    </row>
    <row r="25" spans="1:20" customFormat="1" ht="14.4">
      <c r="A25" s="53" t="str">
        <f t="shared" si="0"/>
        <v>1</v>
      </c>
      <c r="B25" s="32" t="s">
        <v>94</v>
      </c>
      <c r="C25" s="32" t="s">
        <v>512</v>
      </c>
      <c r="D25" s="267" t="s">
        <v>513</v>
      </c>
      <c r="E25" s="290" t="s">
        <v>113</v>
      </c>
      <c r="F25" s="50" t="s">
        <v>95</v>
      </c>
      <c r="G25" s="95"/>
      <c r="H25" s="100"/>
      <c r="I25" s="80">
        <f t="shared" si="1"/>
        <v>1</v>
      </c>
      <c r="J25" s="80">
        <f t="shared" si="2"/>
        <v>1</v>
      </c>
      <c r="K25" s="50">
        <f t="shared" si="3"/>
        <v>0</v>
      </c>
      <c r="L25" s="81">
        <f t="shared" si="4"/>
        <v>0</v>
      </c>
      <c r="M25" s="42" t="str">
        <f t="shared" si="10"/>
        <v>offen</v>
      </c>
      <c r="N25" s="79"/>
      <c r="O25" s="15">
        <v>1</v>
      </c>
      <c r="P25" s="135">
        <f t="shared" si="5"/>
        <v>0</v>
      </c>
      <c r="Q25" s="135">
        <f t="shared" si="6"/>
        <v>0</v>
      </c>
      <c r="R25" s="135">
        <f t="shared" si="7"/>
        <v>1</v>
      </c>
      <c r="S25" s="135">
        <f t="shared" si="8"/>
        <v>0</v>
      </c>
      <c r="T25" s="135">
        <f t="shared" si="9"/>
        <v>0</v>
      </c>
    </row>
    <row r="26" spans="1:20" customFormat="1" ht="14.4">
      <c r="A26" s="53" t="str">
        <f t="shared" si="0"/>
        <v>1</v>
      </c>
      <c r="B26" s="51" t="s">
        <v>94</v>
      </c>
      <c r="C26" s="32" t="s">
        <v>514</v>
      </c>
      <c r="D26" s="267" t="s">
        <v>515</v>
      </c>
      <c r="E26" s="290" t="s">
        <v>113</v>
      </c>
      <c r="F26" s="50" t="s">
        <v>95</v>
      </c>
      <c r="G26" s="95"/>
      <c r="H26" s="100"/>
      <c r="I26" s="80">
        <f t="shared" si="1"/>
        <v>1</v>
      </c>
      <c r="J26" s="80">
        <f t="shared" si="2"/>
        <v>5</v>
      </c>
      <c r="K26" s="50">
        <f t="shared" si="3"/>
        <v>0</v>
      </c>
      <c r="L26" s="81">
        <f t="shared" si="4"/>
        <v>0</v>
      </c>
      <c r="M26" s="42" t="str">
        <f t="shared" si="10"/>
        <v>offen</v>
      </c>
      <c r="N26" s="50"/>
      <c r="O26" s="44">
        <v>5</v>
      </c>
      <c r="P26" s="135">
        <f t="shared" si="5"/>
        <v>0</v>
      </c>
      <c r="Q26" s="135">
        <f t="shared" si="6"/>
        <v>0</v>
      </c>
      <c r="R26" s="135">
        <f t="shared" si="7"/>
        <v>1</v>
      </c>
      <c r="S26" s="135">
        <f t="shared" si="8"/>
        <v>0</v>
      </c>
      <c r="T26" s="135">
        <f t="shared" si="9"/>
        <v>0</v>
      </c>
    </row>
    <row r="27" spans="1:20" customFormat="1" ht="14.4">
      <c r="A27" s="53" t="str">
        <f t="shared" si="0"/>
        <v>1</v>
      </c>
      <c r="B27" s="51" t="s">
        <v>94</v>
      </c>
      <c r="C27" s="32" t="s">
        <v>516</v>
      </c>
      <c r="D27" s="267" t="s">
        <v>517</v>
      </c>
      <c r="E27" s="290" t="s">
        <v>113</v>
      </c>
      <c r="F27" s="50" t="s">
        <v>95</v>
      </c>
      <c r="G27" s="95"/>
      <c r="H27" s="100"/>
      <c r="I27" s="80">
        <f t="shared" si="1"/>
        <v>1</v>
      </c>
      <c r="J27" s="80">
        <f t="shared" si="2"/>
        <v>5</v>
      </c>
      <c r="K27" s="50">
        <f t="shared" si="3"/>
        <v>0</v>
      </c>
      <c r="L27" s="81">
        <f t="shared" si="4"/>
        <v>0</v>
      </c>
      <c r="M27" s="42" t="str">
        <f t="shared" si="10"/>
        <v>offen</v>
      </c>
      <c r="N27" s="50"/>
      <c r="O27" s="44">
        <v>5</v>
      </c>
      <c r="P27" s="135">
        <f t="shared" si="5"/>
        <v>0</v>
      </c>
      <c r="Q27" s="135">
        <f t="shared" si="6"/>
        <v>0</v>
      </c>
      <c r="R27" s="135">
        <f t="shared" si="7"/>
        <v>1</v>
      </c>
      <c r="S27" s="135">
        <f t="shared" si="8"/>
        <v>0</v>
      </c>
      <c r="T27" s="135">
        <f t="shared" si="9"/>
        <v>0</v>
      </c>
    </row>
    <row r="28" spans="1:20" customFormat="1" ht="14.4">
      <c r="A28" s="53" t="str">
        <f t="shared" si="0"/>
        <v>1</v>
      </c>
      <c r="B28" s="51"/>
      <c r="C28" s="51"/>
      <c r="D28" s="205" t="s">
        <v>518</v>
      </c>
      <c r="E28" s="290"/>
      <c r="F28" s="50"/>
      <c r="G28" s="50"/>
      <c r="H28" s="50"/>
      <c r="I28" s="50" t="str">
        <f t="shared" si="1"/>
        <v/>
      </c>
      <c r="J28" s="50" t="str">
        <f t="shared" si="2"/>
        <v/>
      </c>
      <c r="K28" s="50" t="str">
        <f t="shared" si="3"/>
        <v/>
      </c>
      <c r="L28" s="50" t="str">
        <f t="shared" si="4"/>
        <v/>
      </c>
      <c r="M28" s="81" t="str">
        <f t="shared" si="10"/>
        <v/>
      </c>
      <c r="N28" s="50"/>
      <c r="O28" s="44"/>
      <c r="P28" s="135">
        <f t="shared" si="5"/>
        <v>0</v>
      </c>
      <c r="Q28" s="135">
        <f t="shared" si="6"/>
        <v>0</v>
      </c>
      <c r="R28" s="135">
        <f t="shared" si="7"/>
        <v>0</v>
      </c>
      <c r="S28" s="135">
        <f t="shared" si="8"/>
        <v>0</v>
      </c>
      <c r="T28" s="135">
        <f t="shared" si="9"/>
        <v>0</v>
      </c>
    </row>
    <row r="29" spans="1:20" customFormat="1" ht="14.4">
      <c r="A29" s="53" t="str">
        <f t="shared" si="0"/>
        <v>1</v>
      </c>
      <c r="B29" s="51" t="s">
        <v>94</v>
      </c>
      <c r="C29" s="51" t="s">
        <v>519</v>
      </c>
      <c r="D29" s="267" t="s">
        <v>520</v>
      </c>
      <c r="E29" s="290" t="s">
        <v>113</v>
      </c>
      <c r="F29" s="50" t="s">
        <v>95</v>
      </c>
      <c r="G29" s="95"/>
      <c r="H29" s="100"/>
      <c r="I29" s="80">
        <f t="shared" si="1"/>
        <v>1</v>
      </c>
      <c r="J29" s="80">
        <f t="shared" si="2"/>
        <v>1</v>
      </c>
      <c r="K29" s="50">
        <f t="shared" si="3"/>
        <v>0</v>
      </c>
      <c r="L29" s="81">
        <f t="shared" si="4"/>
        <v>0</v>
      </c>
      <c r="M29" s="42" t="str">
        <f t="shared" si="10"/>
        <v>offen</v>
      </c>
      <c r="N29" s="50"/>
      <c r="O29" s="44">
        <v>1</v>
      </c>
      <c r="P29" s="135">
        <f t="shared" si="5"/>
        <v>0</v>
      </c>
      <c r="Q29" s="135">
        <f t="shared" si="6"/>
        <v>0</v>
      </c>
      <c r="R29" s="135">
        <f t="shared" si="7"/>
        <v>1</v>
      </c>
      <c r="S29" s="135">
        <f t="shared" si="8"/>
        <v>0</v>
      </c>
      <c r="T29" s="135">
        <f t="shared" si="9"/>
        <v>0</v>
      </c>
    </row>
    <row r="30" spans="1:20" customFormat="1" ht="14.4">
      <c r="A30" s="53" t="str">
        <f t="shared" si="0"/>
        <v>1</v>
      </c>
      <c r="B30" s="51" t="s">
        <v>94</v>
      </c>
      <c r="C30" s="51" t="s">
        <v>521</v>
      </c>
      <c r="D30" s="267" t="s">
        <v>522</v>
      </c>
      <c r="E30" s="290" t="s">
        <v>113</v>
      </c>
      <c r="F30" s="50" t="s">
        <v>95</v>
      </c>
      <c r="G30" s="95"/>
      <c r="H30" s="100"/>
      <c r="I30" s="80">
        <f t="shared" si="1"/>
        <v>1</v>
      </c>
      <c r="J30" s="80">
        <f t="shared" si="2"/>
        <v>1</v>
      </c>
      <c r="K30" s="50">
        <f>IF($B30="A-Kriterium","---",IF(B30="","",IF(AND(B30="B-Kriterium",G30="ja"),J30,0)))</f>
        <v>0</v>
      </c>
      <c r="L30" s="81">
        <f t="shared" si="4"/>
        <v>0</v>
      </c>
      <c r="M30" s="42" t="str">
        <f>IF(AND(ISBLANK(G30)=FALSE,B30="B-Kriterium"),"ok",IF($B30="","",IF(AND(B30="A-Kriterium",G30="ja"),"ok",IF(AND(B30="A-Kriterium",G30="nein"),"nok","offen"))))</f>
        <v>offen</v>
      </c>
      <c r="N30" s="50"/>
      <c r="O30" s="44">
        <v>1</v>
      </c>
      <c r="P30" s="135">
        <f t="shared" si="5"/>
        <v>0</v>
      </c>
      <c r="Q30" s="135">
        <f t="shared" si="6"/>
        <v>0</v>
      </c>
      <c r="R30" s="135">
        <f t="shared" si="7"/>
        <v>1</v>
      </c>
      <c r="S30" s="135">
        <f t="shared" si="8"/>
        <v>0</v>
      </c>
      <c r="T30" s="135">
        <f t="shared" si="9"/>
        <v>0</v>
      </c>
    </row>
    <row r="31" spans="1:20" customFormat="1" ht="14.4">
      <c r="A31" s="53" t="str">
        <f t="shared" si="0"/>
        <v>1</v>
      </c>
      <c r="B31" s="51" t="s">
        <v>94</v>
      </c>
      <c r="C31" s="51" t="s">
        <v>523</v>
      </c>
      <c r="D31" s="267" t="s">
        <v>524</v>
      </c>
      <c r="E31" s="290" t="s">
        <v>113</v>
      </c>
      <c r="F31" s="50" t="s">
        <v>95</v>
      </c>
      <c r="G31" s="95"/>
      <c r="H31" s="100"/>
      <c r="I31" s="80">
        <f t="shared" si="1"/>
        <v>1</v>
      </c>
      <c r="J31" s="80">
        <f t="shared" si="2"/>
        <v>1</v>
      </c>
      <c r="K31" s="50">
        <f>IF($B31="A-Kriterium","---",IF(B31="","",IF(AND(B31="B-Kriterium",G31="ja"),J31,0)))</f>
        <v>0</v>
      </c>
      <c r="L31" s="81">
        <f t="shared" si="4"/>
        <v>0</v>
      </c>
      <c r="M31" s="42" t="str">
        <f>IF(AND(ISBLANK(G31)=FALSE,B31="B-Kriterium"),"ok",IF($B31="","",IF(AND(B31="A-Kriterium",G31="ja"),"ok",IF(AND(B31="A-Kriterium",G31="nein"),"nok","offen"))))</f>
        <v>offen</v>
      </c>
      <c r="N31" s="50"/>
      <c r="O31" s="44">
        <v>1</v>
      </c>
      <c r="P31" s="135">
        <f t="shared" si="5"/>
        <v>0</v>
      </c>
      <c r="Q31" s="135">
        <f t="shared" si="6"/>
        <v>0</v>
      </c>
      <c r="R31" s="135">
        <f t="shared" si="7"/>
        <v>1</v>
      </c>
      <c r="S31" s="135">
        <f t="shared" si="8"/>
        <v>0</v>
      </c>
      <c r="T31" s="135">
        <f t="shared" si="9"/>
        <v>0</v>
      </c>
    </row>
    <row r="32" spans="1:20" customFormat="1" ht="14.4">
      <c r="A32" s="53" t="str">
        <f t="shared" si="0"/>
        <v>1</v>
      </c>
      <c r="B32" s="51" t="s">
        <v>94</v>
      </c>
      <c r="C32" s="51" t="s">
        <v>525</v>
      </c>
      <c r="D32" s="267" t="s">
        <v>526</v>
      </c>
      <c r="E32" s="290" t="s">
        <v>113</v>
      </c>
      <c r="F32" s="50" t="s">
        <v>95</v>
      </c>
      <c r="G32" s="95"/>
      <c r="H32" s="100"/>
      <c r="I32" s="80">
        <f t="shared" si="1"/>
        <v>1</v>
      </c>
      <c r="J32" s="80">
        <f t="shared" si="2"/>
        <v>1</v>
      </c>
      <c r="K32" s="50">
        <f t="shared" si="3"/>
        <v>0</v>
      </c>
      <c r="L32" s="81">
        <f t="shared" si="4"/>
        <v>0</v>
      </c>
      <c r="M32" s="42" t="str">
        <f t="shared" si="10"/>
        <v>offen</v>
      </c>
      <c r="N32" s="50"/>
      <c r="O32" s="44">
        <v>1</v>
      </c>
      <c r="P32" s="135">
        <f t="shared" si="5"/>
        <v>0</v>
      </c>
      <c r="Q32" s="135">
        <f t="shared" si="6"/>
        <v>0</v>
      </c>
      <c r="R32" s="135">
        <f t="shared" si="7"/>
        <v>1</v>
      </c>
      <c r="S32" s="135">
        <f t="shared" si="8"/>
        <v>0</v>
      </c>
      <c r="T32" s="135">
        <f t="shared" si="9"/>
        <v>0</v>
      </c>
    </row>
    <row r="33" spans="1:20" customFormat="1" ht="14.4">
      <c r="A33" s="53" t="str">
        <f t="shared" si="0"/>
        <v>1</v>
      </c>
      <c r="B33" s="51" t="s">
        <v>94</v>
      </c>
      <c r="C33" s="51" t="s">
        <v>527</v>
      </c>
      <c r="D33" s="267" t="s">
        <v>528</v>
      </c>
      <c r="E33" s="290" t="s">
        <v>113</v>
      </c>
      <c r="F33" s="50" t="s">
        <v>95</v>
      </c>
      <c r="G33" s="95"/>
      <c r="H33" s="100"/>
      <c r="I33" s="80">
        <f t="shared" si="1"/>
        <v>1</v>
      </c>
      <c r="J33" s="80">
        <f t="shared" si="2"/>
        <v>1</v>
      </c>
      <c r="K33" s="50">
        <f t="shared" si="3"/>
        <v>0</v>
      </c>
      <c r="L33" s="81">
        <f t="shared" si="4"/>
        <v>0</v>
      </c>
      <c r="M33" s="42" t="str">
        <f t="shared" si="10"/>
        <v>offen</v>
      </c>
      <c r="N33" s="50"/>
      <c r="O33" s="44">
        <v>1</v>
      </c>
      <c r="P33" s="135">
        <f t="shared" si="5"/>
        <v>0</v>
      </c>
      <c r="Q33" s="135">
        <f t="shared" si="6"/>
        <v>0</v>
      </c>
      <c r="R33" s="135">
        <f t="shared" si="7"/>
        <v>1</v>
      </c>
      <c r="S33" s="135">
        <f t="shared" si="8"/>
        <v>0</v>
      </c>
      <c r="T33" s="135">
        <f t="shared" si="9"/>
        <v>0</v>
      </c>
    </row>
    <row r="34" spans="1:20" customFormat="1" ht="14.4">
      <c r="A34" s="53" t="str">
        <f t="shared" si="0"/>
        <v>1</v>
      </c>
      <c r="B34" s="51" t="s">
        <v>94</v>
      </c>
      <c r="C34" s="51" t="s">
        <v>529</v>
      </c>
      <c r="D34" s="267" t="s">
        <v>530</v>
      </c>
      <c r="E34" s="290" t="s">
        <v>113</v>
      </c>
      <c r="F34" s="50" t="s">
        <v>95</v>
      </c>
      <c r="G34" s="95"/>
      <c r="H34" s="100"/>
      <c r="I34" s="80">
        <f t="shared" si="1"/>
        <v>1</v>
      </c>
      <c r="J34" s="80">
        <f t="shared" si="2"/>
        <v>1</v>
      </c>
      <c r="K34" s="50">
        <f t="shared" si="3"/>
        <v>0</v>
      </c>
      <c r="L34" s="81">
        <f t="shared" si="4"/>
        <v>0</v>
      </c>
      <c r="M34" s="42" t="str">
        <f t="shared" si="10"/>
        <v>offen</v>
      </c>
      <c r="N34" s="50"/>
      <c r="O34" s="44">
        <v>1</v>
      </c>
      <c r="P34" s="135">
        <f t="shared" si="5"/>
        <v>0</v>
      </c>
      <c r="Q34" s="135">
        <f t="shared" si="6"/>
        <v>0</v>
      </c>
      <c r="R34" s="135">
        <f t="shared" si="7"/>
        <v>1</v>
      </c>
      <c r="S34" s="135">
        <f t="shared" si="8"/>
        <v>0</v>
      </c>
      <c r="T34" s="135">
        <f t="shared" si="9"/>
        <v>0</v>
      </c>
    </row>
    <row r="35" spans="1:20" customFormat="1" ht="14.4">
      <c r="A35" s="53" t="str">
        <f t="shared" si="0"/>
        <v>1</v>
      </c>
      <c r="B35" s="51" t="s">
        <v>94</v>
      </c>
      <c r="C35" s="51" t="s">
        <v>531</v>
      </c>
      <c r="D35" s="267" t="s">
        <v>532</v>
      </c>
      <c r="E35" s="290" t="s">
        <v>113</v>
      </c>
      <c r="F35" s="50" t="s">
        <v>95</v>
      </c>
      <c r="G35" s="95"/>
      <c r="H35" s="100"/>
      <c r="I35" s="80">
        <f t="shared" si="1"/>
        <v>1</v>
      </c>
      <c r="J35" s="80">
        <f t="shared" si="2"/>
        <v>1</v>
      </c>
      <c r="K35" s="50">
        <f t="shared" si="3"/>
        <v>0</v>
      </c>
      <c r="L35" s="81">
        <f t="shared" si="4"/>
        <v>0</v>
      </c>
      <c r="M35" s="42" t="str">
        <f t="shared" si="10"/>
        <v>offen</v>
      </c>
      <c r="N35" s="50"/>
      <c r="O35" s="44">
        <v>1</v>
      </c>
      <c r="P35" s="135">
        <f t="shared" si="5"/>
        <v>0</v>
      </c>
      <c r="Q35" s="135">
        <f t="shared" si="6"/>
        <v>0</v>
      </c>
      <c r="R35" s="135">
        <f t="shared" si="7"/>
        <v>1</v>
      </c>
      <c r="S35" s="135">
        <f t="shared" si="8"/>
        <v>0</v>
      </c>
      <c r="T35" s="135">
        <f t="shared" si="9"/>
        <v>0</v>
      </c>
    </row>
    <row r="36" spans="1:20" customFormat="1" ht="14.4">
      <c r="A36" s="334" t="str">
        <f t="shared" si="0"/>
        <v/>
      </c>
      <c r="B36" s="51"/>
      <c r="C36" s="51"/>
      <c r="D36" s="267"/>
      <c r="E36" s="290"/>
      <c r="F36" s="50"/>
      <c r="G36" s="50"/>
      <c r="H36" s="50"/>
      <c r="I36" s="80" t="str">
        <f t="shared" si="1"/>
        <v/>
      </c>
      <c r="J36" s="80" t="str">
        <f t="shared" si="2"/>
        <v/>
      </c>
      <c r="K36" s="50" t="str">
        <f t="shared" si="3"/>
        <v/>
      </c>
      <c r="L36" s="81" t="str">
        <f t="shared" si="4"/>
        <v/>
      </c>
      <c r="M36" s="81" t="str">
        <f t="shared" si="10"/>
        <v/>
      </c>
      <c r="N36" s="50"/>
      <c r="O36" s="44">
        <v>5</v>
      </c>
      <c r="P36" s="135">
        <f t="shared" si="5"/>
        <v>0</v>
      </c>
      <c r="Q36" s="135">
        <f t="shared" si="6"/>
        <v>0</v>
      </c>
      <c r="R36" s="135">
        <f t="shared" si="7"/>
        <v>0</v>
      </c>
      <c r="S36" s="135">
        <f t="shared" si="8"/>
        <v>0</v>
      </c>
      <c r="T36" s="135">
        <f t="shared" si="9"/>
        <v>0</v>
      </c>
    </row>
    <row r="37" spans="1:20" ht="14.4">
      <c r="A37" s="53" t="str">
        <f t="shared" si="0"/>
        <v>1</v>
      </c>
      <c r="B37" s="51" t="s">
        <v>153</v>
      </c>
      <c r="C37" s="150" t="s">
        <v>533</v>
      </c>
      <c r="D37" s="55" t="s">
        <v>534</v>
      </c>
      <c r="E37" s="290"/>
      <c r="F37" s="50"/>
      <c r="G37" s="316"/>
      <c r="H37" s="317"/>
      <c r="I37" s="80" t="str">
        <f t="shared" si="1"/>
        <v/>
      </c>
      <c r="J37" s="80" t="str">
        <f t="shared" si="2"/>
        <v/>
      </c>
      <c r="K37" s="50" t="str">
        <f t="shared" si="3"/>
        <v/>
      </c>
      <c r="L37" s="81" t="str">
        <f t="shared" si="4"/>
        <v/>
      </c>
      <c r="M37" s="42" t="str">
        <f t="shared" si="10"/>
        <v/>
      </c>
      <c r="N37" s="50"/>
      <c r="P37" s="135">
        <f t="shared" si="5"/>
        <v>0</v>
      </c>
      <c r="Q37" s="135">
        <f t="shared" si="6"/>
        <v>0</v>
      </c>
      <c r="R37" s="135">
        <f t="shared" si="7"/>
        <v>0</v>
      </c>
      <c r="S37" s="135">
        <f t="shared" si="8"/>
        <v>0</v>
      </c>
      <c r="T37" s="135">
        <f t="shared" si="9"/>
        <v>0</v>
      </c>
    </row>
    <row r="38" spans="1:20" customFormat="1" ht="30" customHeight="1">
      <c r="A38" s="53" t="str">
        <f t="shared" si="0"/>
        <v>1</v>
      </c>
      <c r="B38" s="51" t="s">
        <v>94</v>
      </c>
      <c r="C38" s="51" t="s">
        <v>535</v>
      </c>
      <c r="D38" s="55" t="s">
        <v>536</v>
      </c>
      <c r="E38" s="290" t="s">
        <v>113</v>
      </c>
      <c r="F38" s="50" t="s">
        <v>95</v>
      </c>
      <c r="G38" s="95"/>
      <c r="H38" s="100"/>
      <c r="I38" s="80">
        <f t="shared" si="1"/>
        <v>1</v>
      </c>
      <c r="J38" s="80">
        <f t="shared" si="2"/>
        <v>5</v>
      </c>
      <c r="K38" s="50">
        <f t="shared" si="3"/>
        <v>0</v>
      </c>
      <c r="L38" s="81">
        <f t="shared" si="4"/>
        <v>0</v>
      </c>
      <c r="M38" s="42" t="str">
        <f t="shared" si="10"/>
        <v>offen</v>
      </c>
      <c r="N38" s="50"/>
      <c r="O38" s="44">
        <v>5</v>
      </c>
      <c r="P38" s="135">
        <f t="shared" si="5"/>
        <v>0</v>
      </c>
      <c r="Q38" s="135">
        <f t="shared" si="6"/>
        <v>0</v>
      </c>
      <c r="R38" s="135">
        <f t="shared" si="7"/>
        <v>1</v>
      </c>
      <c r="S38" s="135">
        <f t="shared" si="8"/>
        <v>0</v>
      </c>
      <c r="T38" s="135">
        <f t="shared" si="9"/>
        <v>0</v>
      </c>
    </row>
    <row r="39" spans="1:20" customFormat="1" ht="14.4">
      <c r="A39" s="334"/>
      <c r="B39" s="51"/>
      <c r="C39" s="51"/>
      <c r="D39" s="55"/>
      <c r="E39" s="290"/>
      <c r="F39" s="50"/>
      <c r="G39" s="50"/>
      <c r="H39" s="50"/>
      <c r="I39" s="80" t="str">
        <f t="shared" si="1"/>
        <v/>
      </c>
      <c r="J39" s="80" t="str">
        <f t="shared" si="2"/>
        <v/>
      </c>
      <c r="K39" s="50" t="str">
        <f t="shared" si="3"/>
        <v/>
      </c>
      <c r="L39" s="81" t="str">
        <f t="shared" si="4"/>
        <v/>
      </c>
      <c r="M39" s="81" t="str">
        <f t="shared" si="10"/>
        <v/>
      </c>
      <c r="N39" s="50"/>
      <c r="O39" s="44"/>
      <c r="P39" s="135">
        <f t="shared" si="5"/>
        <v>0</v>
      </c>
      <c r="Q39" s="135">
        <f t="shared" si="6"/>
        <v>0</v>
      </c>
      <c r="R39" s="135">
        <f t="shared" si="7"/>
        <v>0</v>
      </c>
      <c r="S39" s="135">
        <f t="shared" si="8"/>
        <v>0</v>
      </c>
      <c r="T39" s="135">
        <f t="shared" si="9"/>
        <v>0</v>
      </c>
    </row>
    <row r="40" spans="1:20" ht="14.4">
      <c r="A40" s="53" t="str">
        <f t="shared" ref="A40:A48" si="11">IF(D40="","","1")</f>
        <v>1</v>
      </c>
      <c r="B40" s="51" t="s">
        <v>153</v>
      </c>
      <c r="C40" s="150" t="s">
        <v>537</v>
      </c>
      <c r="D40" s="55" t="s">
        <v>538</v>
      </c>
      <c r="E40" s="290"/>
      <c r="F40" s="50"/>
      <c r="G40" s="316"/>
      <c r="H40" s="317"/>
      <c r="I40" s="80" t="str">
        <f t="shared" si="1"/>
        <v/>
      </c>
      <c r="J40" s="80" t="str">
        <f t="shared" si="2"/>
        <v/>
      </c>
      <c r="K40" s="50" t="str">
        <f t="shared" si="3"/>
        <v/>
      </c>
      <c r="L40" s="81" t="str">
        <f t="shared" si="4"/>
        <v/>
      </c>
      <c r="M40" s="42" t="str">
        <f t="shared" si="10"/>
        <v/>
      </c>
      <c r="N40" s="50"/>
      <c r="P40" s="135">
        <f t="shared" si="5"/>
        <v>0</v>
      </c>
      <c r="Q40" s="135">
        <f t="shared" si="6"/>
        <v>0</v>
      </c>
      <c r="R40" s="135">
        <f t="shared" si="7"/>
        <v>0</v>
      </c>
      <c r="S40" s="135">
        <f t="shared" si="8"/>
        <v>0</v>
      </c>
      <c r="T40" s="135">
        <f t="shared" si="9"/>
        <v>0</v>
      </c>
    </row>
    <row r="41" spans="1:20" ht="14.4">
      <c r="A41" s="53" t="str">
        <f t="shared" si="11"/>
        <v>1</v>
      </c>
      <c r="B41" s="51" t="s">
        <v>94</v>
      </c>
      <c r="C41" s="51" t="s">
        <v>539</v>
      </c>
      <c r="D41" s="148" t="s">
        <v>540</v>
      </c>
      <c r="E41" s="290" t="s">
        <v>541</v>
      </c>
      <c r="F41" s="50" t="s">
        <v>95</v>
      </c>
      <c r="G41" s="95"/>
      <c r="H41" s="100"/>
      <c r="I41" s="80">
        <f t="shared" ref="I41:I72" si="12">IF(B41="","",IF(B41="B-Kriterium",1,"---"))</f>
        <v>1</v>
      </c>
      <c r="J41" s="80">
        <f t="shared" ref="J41:J72" si="13">IF(B41="","",IF(B41="A-Kriterium","---",O41))</f>
        <v>1</v>
      </c>
      <c r="K41" s="50">
        <f t="shared" ref="K41:K72" si="14">IF($B41="A-Kriterium","---",IF(B41="","",IF(AND(B41="B-Kriterium",G41="ja"),J41,0)))</f>
        <v>0</v>
      </c>
      <c r="L41" s="81">
        <f t="shared" ref="L41:L72" si="15">IF(B41="A-Kriterium","---",IF(B41="","",I41*K41))</f>
        <v>0</v>
      </c>
      <c r="M41" s="42" t="str">
        <f t="shared" si="10"/>
        <v>offen</v>
      </c>
      <c r="N41" s="50"/>
      <c r="O41" s="44">
        <v>1</v>
      </c>
      <c r="P41" s="135">
        <f t="shared" ref="P41:P72" si="16">IF(AND($F41="Bieter/in",$B41="A-Kriterium",$M41=P$9),1,0)</f>
        <v>0</v>
      </c>
      <c r="Q41" s="135">
        <f t="shared" ref="Q41:Q72" si="17">IF(AND($F41="Auftragsgeber/in",$B41="A-Kriterium",$M41=Q$9),1,0)</f>
        <v>0</v>
      </c>
      <c r="R41" s="135">
        <f t="shared" ref="R41:R72" si="18">IF(AND($F41="Bieter/in",$B41="B-Kriterium",$M41=R$9),1,0)</f>
        <v>1</v>
      </c>
      <c r="S41" s="135">
        <f t="shared" ref="S41:S72" si="19">IF(AND($F41="Auftragsgeber/in",$B41="B-Kriterium",$M41=S$9),1,0)</f>
        <v>0</v>
      </c>
      <c r="T41" s="135">
        <f t="shared" ref="T41:T72" si="20">IF(M41="nok",1,0)</f>
        <v>0</v>
      </c>
    </row>
    <row r="42" spans="1:20" ht="14.4">
      <c r="A42" s="53" t="str">
        <f t="shared" si="11"/>
        <v>1</v>
      </c>
      <c r="B42" s="51" t="s">
        <v>94</v>
      </c>
      <c r="C42" s="51" t="s">
        <v>542</v>
      </c>
      <c r="D42" s="148" t="s">
        <v>543</v>
      </c>
      <c r="E42" s="290" t="s">
        <v>113</v>
      </c>
      <c r="F42" s="50" t="s">
        <v>95</v>
      </c>
      <c r="G42" s="95"/>
      <c r="H42" s="100"/>
      <c r="I42" s="80">
        <f t="shared" si="12"/>
        <v>1</v>
      </c>
      <c r="J42" s="80">
        <f t="shared" si="13"/>
        <v>1</v>
      </c>
      <c r="K42" s="50">
        <f t="shared" si="14"/>
        <v>0</v>
      </c>
      <c r="L42" s="81">
        <f t="shared" si="15"/>
        <v>0</v>
      </c>
      <c r="M42" s="42" t="str">
        <f t="shared" ref="M42:M73" si="21">IF(AND(ISBLANK(G42)=FALSE,B42="B-Kriterium"),"ok",IF($B42="","",IF(AND(B42="A-Kriterium",G42="ja"),"ok",IF(AND(B42="A-Kriterium",G42="nein"),"nok","offen"))))</f>
        <v>offen</v>
      </c>
      <c r="N42" s="50"/>
      <c r="O42" s="44">
        <v>1</v>
      </c>
      <c r="P42" s="135">
        <f t="shared" si="16"/>
        <v>0</v>
      </c>
      <c r="Q42" s="135">
        <f t="shared" si="17"/>
        <v>0</v>
      </c>
      <c r="R42" s="135">
        <f t="shared" si="18"/>
        <v>1</v>
      </c>
      <c r="S42" s="135">
        <f t="shared" si="19"/>
        <v>0</v>
      </c>
      <c r="T42" s="135">
        <f t="shared" si="20"/>
        <v>0</v>
      </c>
    </row>
    <row r="43" spans="1:20" ht="14.4">
      <c r="A43" s="53" t="str">
        <f t="shared" si="11"/>
        <v>1</v>
      </c>
      <c r="B43" s="51" t="s">
        <v>94</v>
      </c>
      <c r="C43" s="51" t="s">
        <v>544</v>
      </c>
      <c r="D43" s="148" t="s">
        <v>545</v>
      </c>
      <c r="E43" s="290" t="s">
        <v>113</v>
      </c>
      <c r="F43" s="50" t="s">
        <v>95</v>
      </c>
      <c r="G43" s="95"/>
      <c r="H43" s="100"/>
      <c r="I43" s="80">
        <f t="shared" si="12"/>
        <v>1</v>
      </c>
      <c r="J43" s="80">
        <f t="shared" si="13"/>
        <v>1</v>
      </c>
      <c r="K43" s="50">
        <f t="shared" si="14"/>
        <v>0</v>
      </c>
      <c r="L43" s="81">
        <f t="shared" si="15"/>
        <v>0</v>
      </c>
      <c r="M43" s="42" t="str">
        <f t="shared" si="21"/>
        <v>offen</v>
      </c>
      <c r="N43" s="50"/>
      <c r="O43" s="44">
        <v>1</v>
      </c>
      <c r="P43" s="135">
        <f t="shared" si="16"/>
        <v>0</v>
      </c>
      <c r="Q43" s="135">
        <f t="shared" si="17"/>
        <v>0</v>
      </c>
      <c r="R43" s="135">
        <f t="shared" si="18"/>
        <v>1</v>
      </c>
      <c r="S43" s="135">
        <f t="shared" si="19"/>
        <v>0</v>
      </c>
      <c r="T43" s="135">
        <f t="shared" si="20"/>
        <v>0</v>
      </c>
    </row>
    <row r="44" spans="1:20" customFormat="1" ht="26.4">
      <c r="A44" s="53" t="str">
        <f t="shared" si="11"/>
        <v>1</v>
      </c>
      <c r="B44" s="51" t="s">
        <v>94</v>
      </c>
      <c r="C44" s="51" t="s">
        <v>546</v>
      </c>
      <c r="D44" s="55" t="s">
        <v>547</v>
      </c>
      <c r="E44" s="290" t="s">
        <v>113</v>
      </c>
      <c r="F44" s="50" t="s">
        <v>95</v>
      </c>
      <c r="G44" s="95"/>
      <c r="H44" s="100"/>
      <c r="I44" s="80">
        <f t="shared" si="12"/>
        <v>1</v>
      </c>
      <c r="J44" s="80">
        <f t="shared" si="13"/>
        <v>5</v>
      </c>
      <c r="K44" s="50">
        <f t="shared" si="14"/>
        <v>0</v>
      </c>
      <c r="L44" s="81">
        <f t="shared" si="15"/>
        <v>0</v>
      </c>
      <c r="M44" s="42" t="str">
        <f t="shared" si="21"/>
        <v>offen</v>
      </c>
      <c r="N44" s="50"/>
      <c r="O44" s="44">
        <v>5</v>
      </c>
      <c r="P44" s="135">
        <f t="shared" si="16"/>
        <v>0</v>
      </c>
      <c r="Q44" s="135">
        <f t="shared" si="17"/>
        <v>0</v>
      </c>
      <c r="R44" s="135">
        <f t="shared" si="18"/>
        <v>1</v>
      </c>
      <c r="S44" s="135">
        <f t="shared" si="19"/>
        <v>0</v>
      </c>
      <c r="T44" s="135">
        <f t="shared" si="20"/>
        <v>0</v>
      </c>
    </row>
    <row r="45" spans="1:20" customFormat="1" ht="14.4">
      <c r="A45" s="53" t="str">
        <f t="shared" si="11"/>
        <v>1</v>
      </c>
      <c r="B45" s="51" t="s">
        <v>94</v>
      </c>
      <c r="C45" s="51" t="s">
        <v>548</v>
      </c>
      <c r="D45" s="55" t="s">
        <v>549</v>
      </c>
      <c r="E45" s="290" t="s">
        <v>113</v>
      </c>
      <c r="F45" s="50" t="s">
        <v>95</v>
      </c>
      <c r="G45" s="95"/>
      <c r="H45" s="100"/>
      <c r="I45" s="80">
        <f t="shared" si="12"/>
        <v>1</v>
      </c>
      <c r="J45" s="80">
        <f t="shared" si="13"/>
        <v>1</v>
      </c>
      <c r="K45" s="50">
        <f t="shared" si="14"/>
        <v>0</v>
      </c>
      <c r="L45" s="81">
        <f t="shared" si="15"/>
        <v>0</v>
      </c>
      <c r="M45" s="42" t="str">
        <f t="shared" si="21"/>
        <v>offen</v>
      </c>
      <c r="N45" s="50"/>
      <c r="O45" s="44">
        <v>1</v>
      </c>
      <c r="P45" s="135">
        <f t="shared" si="16"/>
        <v>0</v>
      </c>
      <c r="Q45" s="135">
        <f t="shared" si="17"/>
        <v>0</v>
      </c>
      <c r="R45" s="135">
        <f t="shared" si="18"/>
        <v>1</v>
      </c>
      <c r="S45" s="135">
        <f t="shared" si="19"/>
        <v>0</v>
      </c>
      <c r="T45" s="135">
        <f t="shared" si="20"/>
        <v>0</v>
      </c>
    </row>
    <row r="46" spans="1:20" customFormat="1" ht="15.75" customHeight="1">
      <c r="A46" s="53" t="str">
        <f t="shared" si="11"/>
        <v>1</v>
      </c>
      <c r="B46" s="51" t="s">
        <v>94</v>
      </c>
      <c r="C46" s="51" t="s">
        <v>550</v>
      </c>
      <c r="D46" s="55" t="s">
        <v>551</v>
      </c>
      <c r="E46" s="290" t="s">
        <v>113</v>
      </c>
      <c r="F46" s="50" t="s">
        <v>95</v>
      </c>
      <c r="G46" s="95"/>
      <c r="H46" s="100"/>
      <c r="I46" s="80">
        <f t="shared" si="12"/>
        <v>1</v>
      </c>
      <c r="J46" s="80">
        <f t="shared" si="13"/>
        <v>5</v>
      </c>
      <c r="K46" s="50">
        <f t="shared" si="14"/>
        <v>0</v>
      </c>
      <c r="L46" s="81">
        <f t="shared" si="15"/>
        <v>0</v>
      </c>
      <c r="M46" s="42" t="str">
        <f t="shared" si="21"/>
        <v>offen</v>
      </c>
      <c r="N46" s="50"/>
      <c r="O46" s="44">
        <v>5</v>
      </c>
      <c r="P46" s="135">
        <f t="shared" si="16"/>
        <v>0</v>
      </c>
      <c r="Q46" s="135">
        <f t="shared" si="17"/>
        <v>0</v>
      </c>
      <c r="R46" s="135">
        <f t="shared" si="18"/>
        <v>1</v>
      </c>
      <c r="S46" s="135">
        <f t="shared" si="19"/>
        <v>0</v>
      </c>
      <c r="T46" s="135">
        <f t="shared" si="20"/>
        <v>0</v>
      </c>
    </row>
    <row r="47" spans="1:20" customFormat="1" ht="27.75" customHeight="1">
      <c r="A47" s="53" t="str">
        <f t="shared" si="11"/>
        <v>1</v>
      </c>
      <c r="B47" s="51" t="s">
        <v>94</v>
      </c>
      <c r="C47" s="51" t="s">
        <v>552</v>
      </c>
      <c r="D47" s="310" t="s">
        <v>553</v>
      </c>
      <c r="E47" s="290" t="s">
        <v>113</v>
      </c>
      <c r="F47" s="50" t="s">
        <v>95</v>
      </c>
      <c r="G47" s="95"/>
      <c r="H47" s="100"/>
      <c r="I47" s="80">
        <f t="shared" si="12"/>
        <v>1</v>
      </c>
      <c r="J47" s="80">
        <f t="shared" si="13"/>
        <v>1</v>
      </c>
      <c r="K47" s="50">
        <f t="shared" si="14"/>
        <v>0</v>
      </c>
      <c r="L47" s="81">
        <f t="shared" si="15"/>
        <v>0</v>
      </c>
      <c r="M47" s="42" t="str">
        <f t="shared" si="21"/>
        <v>offen</v>
      </c>
      <c r="N47" s="50"/>
      <c r="O47" s="44">
        <v>1</v>
      </c>
      <c r="P47" s="135">
        <f t="shared" si="16"/>
        <v>0</v>
      </c>
      <c r="Q47" s="135">
        <f t="shared" si="17"/>
        <v>0</v>
      </c>
      <c r="R47" s="135">
        <f t="shared" si="18"/>
        <v>1</v>
      </c>
      <c r="S47" s="135">
        <f t="shared" si="19"/>
        <v>0</v>
      </c>
      <c r="T47" s="135">
        <f t="shared" si="20"/>
        <v>0</v>
      </c>
    </row>
    <row r="48" spans="1:20" customFormat="1" ht="26.4">
      <c r="A48" s="53" t="str">
        <f t="shared" si="11"/>
        <v>1</v>
      </c>
      <c r="B48" s="51" t="s">
        <v>94</v>
      </c>
      <c r="C48" s="51" t="s">
        <v>554</v>
      </c>
      <c r="D48" s="55" t="s">
        <v>555</v>
      </c>
      <c r="E48" s="290" t="s">
        <v>113</v>
      </c>
      <c r="F48" s="50" t="s">
        <v>95</v>
      </c>
      <c r="G48" s="95"/>
      <c r="H48" s="100"/>
      <c r="I48" s="80">
        <f t="shared" si="12"/>
        <v>1</v>
      </c>
      <c r="J48" s="80">
        <f t="shared" si="13"/>
        <v>5</v>
      </c>
      <c r="K48" s="50">
        <f t="shared" si="14"/>
        <v>0</v>
      </c>
      <c r="L48" s="81">
        <f t="shared" si="15"/>
        <v>0</v>
      </c>
      <c r="M48" s="42" t="str">
        <f t="shared" si="21"/>
        <v>offen</v>
      </c>
      <c r="N48" s="50"/>
      <c r="O48" s="44">
        <v>5</v>
      </c>
      <c r="P48" s="135">
        <f t="shared" si="16"/>
        <v>0</v>
      </c>
      <c r="Q48" s="135">
        <f t="shared" si="17"/>
        <v>0</v>
      </c>
      <c r="R48" s="135">
        <f t="shared" si="18"/>
        <v>1</v>
      </c>
      <c r="S48" s="135">
        <f t="shared" si="19"/>
        <v>0</v>
      </c>
      <c r="T48" s="135">
        <f t="shared" si="20"/>
        <v>0</v>
      </c>
    </row>
    <row r="49" spans="1:20" customFormat="1" ht="14.4">
      <c r="A49" s="334"/>
      <c r="B49" s="51"/>
      <c r="C49" s="51"/>
      <c r="D49" s="55"/>
      <c r="E49" s="290"/>
      <c r="F49" s="50"/>
      <c r="G49" s="50"/>
      <c r="H49" s="50"/>
      <c r="I49" s="80" t="str">
        <f t="shared" si="12"/>
        <v/>
      </c>
      <c r="J49" s="80" t="str">
        <f t="shared" si="13"/>
        <v/>
      </c>
      <c r="K49" s="50" t="str">
        <f t="shared" si="14"/>
        <v/>
      </c>
      <c r="L49" s="81" t="str">
        <f t="shared" si="15"/>
        <v/>
      </c>
      <c r="M49" s="81" t="str">
        <f t="shared" si="21"/>
        <v/>
      </c>
      <c r="N49" s="50"/>
      <c r="O49" s="44"/>
      <c r="P49" s="135">
        <f t="shared" si="16"/>
        <v>0</v>
      </c>
      <c r="Q49" s="135">
        <f t="shared" si="17"/>
        <v>0</v>
      </c>
      <c r="R49" s="135">
        <f t="shared" si="18"/>
        <v>0</v>
      </c>
      <c r="S49" s="135">
        <f t="shared" si="19"/>
        <v>0</v>
      </c>
      <c r="T49" s="135">
        <f t="shared" si="20"/>
        <v>0</v>
      </c>
    </row>
    <row r="50" spans="1:20" ht="14.4">
      <c r="A50" s="53" t="str">
        <f t="shared" ref="A50:A69" si="22">IF(D50="","","1")</f>
        <v>1</v>
      </c>
      <c r="B50" s="51" t="s">
        <v>153</v>
      </c>
      <c r="C50" s="150" t="s">
        <v>556</v>
      </c>
      <c r="D50" s="55" t="s">
        <v>557</v>
      </c>
      <c r="E50" s="290" t="s">
        <v>153</v>
      </c>
      <c r="F50" s="50"/>
      <c r="G50" s="50"/>
      <c r="H50" s="50"/>
      <c r="I50" s="80" t="str">
        <f t="shared" si="12"/>
        <v/>
      </c>
      <c r="J50" s="80" t="str">
        <f t="shared" si="13"/>
        <v/>
      </c>
      <c r="K50" s="50" t="str">
        <f t="shared" si="14"/>
        <v/>
      </c>
      <c r="L50" s="81" t="str">
        <f t="shared" si="15"/>
        <v/>
      </c>
      <c r="M50" s="42" t="str">
        <f t="shared" si="21"/>
        <v/>
      </c>
      <c r="N50" s="50"/>
      <c r="P50" s="135">
        <f t="shared" si="16"/>
        <v>0</v>
      </c>
      <c r="Q50" s="135">
        <f t="shared" si="17"/>
        <v>0</v>
      </c>
      <c r="R50" s="135">
        <f t="shared" si="18"/>
        <v>0</v>
      </c>
      <c r="S50" s="135">
        <f t="shared" si="19"/>
        <v>0</v>
      </c>
      <c r="T50" s="135">
        <f t="shared" si="20"/>
        <v>0</v>
      </c>
    </row>
    <row r="51" spans="1:20" customFormat="1" ht="14.4">
      <c r="A51" s="53" t="str">
        <f t="shared" si="22"/>
        <v>1</v>
      </c>
      <c r="B51" s="51" t="s">
        <v>94</v>
      </c>
      <c r="C51" s="51" t="s">
        <v>558</v>
      </c>
      <c r="D51" s="55" t="s">
        <v>559</v>
      </c>
      <c r="E51" s="290" t="s">
        <v>113</v>
      </c>
      <c r="F51" s="50" t="s">
        <v>95</v>
      </c>
      <c r="G51" s="95"/>
      <c r="H51" s="100"/>
      <c r="I51" s="80">
        <f t="shared" si="12"/>
        <v>1</v>
      </c>
      <c r="J51" s="80">
        <f t="shared" si="13"/>
        <v>5</v>
      </c>
      <c r="K51" s="50">
        <f t="shared" si="14"/>
        <v>0</v>
      </c>
      <c r="L51" s="81">
        <f t="shared" si="15"/>
        <v>0</v>
      </c>
      <c r="M51" s="42" t="str">
        <f t="shared" si="21"/>
        <v>offen</v>
      </c>
      <c r="N51" s="50"/>
      <c r="O51" s="44">
        <v>5</v>
      </c>
      <c r="P51" s="135">
        <f t="shared" si="16"/>
        <v>0</v>
      </c>
      <c r="Q51" s="135">
        <f t="shared" si="17"/>
        <v>0</v>
      </c>
      <c r="R51" s="135">
        <f t="shared" si="18"/>
        <v>1</v>
      </c>
      <c r="S51" s="135">
        <f t="shared" si="19"/>
        <v>0</v>
      </c>
      <c r="T51" s="135">
        <f t="shared" si="20"/>
        <v>0</v>
      </c>
    </row>
    <row r="52" spans="1:20" customFormat="1" ht="14.4">
      <c r="A52" s="53" t="str">
        <f t="shared" si="22"/>
        <v>1</v>
      </c>
      <c r="B52" s="51" t="s">
        <v>94</v>
      </c>
      <c r="C52" s="51" t="s">
        <v>560</v>
      </c>
      <c r="D52" s="55" t="s">
        <v>561</v>
      </c>
      <c r="E52" s="290" t="s">
        <v>113</v>
      </c>
      <c r="F52" s="50" t="s">
        <v>95</v>
      </c>
      <c r="G52" s="95"/>
      <c r="H52" s="100"/>
      <c r="I52" s="80">
        <f t="shared" si="12"/>
        <v>1</v>
      </c>
      <c r="J52" s="80">
        <f t="shared" si="13"/>
        <v>5</v>
      </c>
      <c r="K52" s="50">
        <f t="shared" si="14"/>
        <v>0</v>
      </c>
      <c r="L52" s="81">
        <f t="shared" si="15"/>
        <v>0</v>
      </c>
      <c r="M52" s="42" t="str">
        <f t="shared" si="21"/>
        <v>offen</v>
      </c>
      <c r="N52" s="50"/>
      <c r="O52" s="44">
        <v>5</v>
      </c>
      <c r="P52" s="135">
        <f t="shared" si="16"/>
        <v>0</v>
      </c>
      <c r="Q52" s="135">
        <f t="shared" si="17"/>
        <v>0</v>
      </c>
      <c r="R52" s="135">
        <f t="shared" si="18"/>
        <v>1</v>
      </c>
      <c r="S52" s="135">
        <f t="shared" si="19"/>
        <v>0</v>
      </c>
      <c r="T52" s="135">
        <f t="shared" si="20"/>
        <v>0</v>
      </c>
    </row>
    <row r="53" spans="1:20" customFormat="1" ht="26.4">
      <c r="A53" s="53" t="str">
        <f t="shared" si="22"/>
        <v>1</v>
      </c>
      <c r="B53" s="51" t="s">
        <v>75</v>
      </c>
      <c r="C53" s="51" t="s">
        <v>562</v>
      </c>
      <c r="D53" s="55" t="s">
        <v>563</v>
      </c>
      <c r="E53" s="290" t="s">
        <v>113</v>
      </c>
      <c r="F53" s="50" t="s">
        <v>95</v>
      </c>
      <c r="G53" s="95"/>
      <c r="H53" s="100"/>
      <c r="I53" s="80" t="str">
        <f t="shared" si="12"/>
        <v>---</v>
      </c>
      <c r="J53" s="80" t="str">
        <f t="shared" si="13"/>
        <v>---</v>
      </c>
      <c r="K53" s="50" t="str">
        <f t="shared" si="14"/>
        <v>---</v>
      </c>
      <c r="L53" s="81" t="str">
        <f t="shared" si="15"/>
        <v>---</v>
      </c>
      <c r="M53" s="42" t="str">
        <f t="shared" si="21"/>
        <v>offen</v>
      </c>
      <c r="N53" s="50"/>
      <c r="O53" s="44"/>
      <c r="P53" s="135">
        <f t="shared" si="16"/>
        <v>1</v>
      </c>
      <c r="Q53" s="135">
        <f t="shared" si="17"/>
        <v>0</v>
      </c>
      <c r="R53" s="135">
        <f t="shared" si="18"/>
        <v>0</v>
      </c>
      <c r="S53" s="135">
        <f t="shared" si="19"/>
        <v>0</v>
      </c>
      <c r="T53" s="135">
        <f t="shared" si="20"/>
        <v>0</v>
      </c>
    </row>
    <row r="54" spans="1:20" customFormat="1" ht="26.4">
      <c r="A54" s="53" t="str">
        <f t="shared" si="22"/>
        <v>1</v>
      </c>
      <c r="B54" s="51" t="s">
        <v>75</v>
      </c>
      <c r="C54" s="51" t="s">
        <v>564</v>
      </c>
      <c r="D54" s="55" t="s">
        <v>565</v>
      </c>
      <c r="E54" s="290" t="s">
        <v>113</v>
      </c>
      <c r="F54" s="50" t="s">
        <v>95</v>
      </c>
      <c r="G54" s="95"/>
      <c r="H54" s="100"/>
      <c r="I54" s="80" t="str">
        <f t="shared" si="12"/>
        <v>---</v>
      </c>
      <c r="J54" s="80" t="str">
        <f t="shared" si="13"/>
        <v>---</v>
      </c>
      <c r="K54" s="50" t="str">
        <f t="shared" si="14"/>
        <v>---</v>
      </c>
      <c r="L54" s="81" t="str">
        <f t="shared" si="15"/>
        <v>---</v>
      </c>
      <c r="M54" s="42" t="str">
        <f t="shared" si="21"/>
        <v>offen</v>
      </c>
      <c r="N54" s="50"/>
      <c r="O54" s="44"/>
      <c r="P54" s="135">
        <f t="shared" si="16"/>
        <v>1</v>
      </c>
      <c r="Q54" s="135">
        <f t="shared" si="17"/>
        <v>0</v>
      </c>
      <c r="R54" s="135">
        <f t="shared" si="18"/>
        <v>0</v>
      </c>
      <c r="S54" s="135">
        <f t="shared" si="19"/>
        <v>0</v>
      </c>
      <c r="T54" s="135">
        <f t="shared" si="20"/>
        <v>0</v>
      </c>
    </row>
    <row r="55" spans="1:20" customFormat="1" ht="14.4">
      <c r="A55" s="53" t="str">
        <f t="shared" si="22"/>
        <v>1</v>
      </c>
      <c r="B55" s="51" t="s">
        <v>94</v>
      </c>
      <c r="C55" s="51" t="s">
        <v>566</v>
      </c>
      <c r="D55" s="55" t="s">
        <v>567</v>
      </c>
      <c r="E55" s="290" t="s">
        <v>113</v>
      </c>
      <c r="F55" s="50" t="s">
        <v>95</v>
      </c>
      <c r="G55" s="95"/>
      <c r="H55" s="100"/>
      <c r="I55" s="80">
        <f t="shared" si="12"/>
        <v>1</v>
      </c>
      <c r="J55" s="80">
        <f t="shared" si="13"/>
        <v>1</v>
      </c>
      <c r="K55" s="50">
        <f t="shared" si="14"/>
        <v>0</v>
      </c>
      <c r="L55" s="81">
        <f t="shared" si="15"/>
        <v>0</v>
      </c>
      <c r="M55" s="42" t="str">
        <f t="shared" si="21"/>
        <v>offen</v>
      </c>
      <c r="N55" s="50"/>
      <c r="O55" s="44">
        <v>1</v>
      </c>
      <c r="P55" s="135">
        <f t="shared" si="16"/>
        <v>0</v>
      </c>
      <c r="Q55" s="135">
        <f t="shared" si="17"/>
        <v>0</v>
      </c>
      <c r="R55" s="135">
        <f t="shared" si="18"/>
        <v>1</v>
      </c>
      <c r="S55" s="135">
        <f t="shared" si="19"/>
        <v>0</v>
      </c>
      <c r="T55" s="135">
        <f t="shared" si="20"/>
        <v>0</v>
      </c>
    </row>
    <row r="56" spans="1:20" customFormat="1" ht="14.4">
      <c r="A56" s="53" t="str">
        <f t="shared" si="22"/>
        <v>1</v>
      </c>
      <c r="B56" s="51" t="s">
        <v>75</v>
      </c>
      <c r="C56" s="51" t="s">
        <v>568</v>
      </c>
      <c r="D56" s="55" t="s">
        <v>569</v>
      </c>
      <c r="E56" s="290" t="s">
        <v>113</v>
      </c>
      <c r="F56" s="50" t="s">
        <v>95</v>
      </c>
      <c r="G56" s="95"/>
      <c r="H56" s="100"/>
      <c r="I56" s="80" t="str">
        <f t="shared" si="12"/>
        <v>---</v>
      </c>
      <c r="J56" s="80" t="str">
        <f t="shared" si="13"/>
        <v>---</v>
      </c>
      <c r="K56" s="50" t="str">
        <f t="shared" si="14"/>
        <v>---</v>
      </c>
      <c r="L56" s="81" t="str">
        <f t="shared" si="15"/>
        <v>---</v>
      </c>
      <c r="M56" s="42" t="str">
        <f t="shared" si="21"/>
        <v>offen</v>
      </c>
      <c r="N56" s="50"/>
      <c r="O56" s="44"/>
      <c r="P56" s="135">
        <f t="shared" si="16"/>
        <v>1</v>
      </c>
      <c r="Q56" s="135">
        <f t="shared" si="17"/>
        <v>0</v>
      </c>
      <c r="R56" s="135">
        <f t="shared" si="18"/>
        <v>0</v>
      </c>
      <c r="S56" s="135">
        <f t="shared" si="19"/>
        <v>0</v>
      </c>
      <c r="T56" s="135">
        <f t="shared" si="20"/>
        <v>0</v>
      </c>
    </row>
    <row r="57" spans="1:20" customFormat="1" ht="14.4">
      <c r="A57" s="53" t="str">
        <f t="shared" si="22"/>
        <v>1</v>
      </c>
      <c r="B57" s="51" t="s">
        <v>94</v>
      </c>
      <c r="C57" s="51" t="s">
        <v>570</v>
      </c>
      <c r="D57" s="55" t="s">
        <v>571</v>
      </c>
      <c r="E57" s="290" t="s">
        <v>113</v>
      </c>
      <c r="F57" s="50" t="s">
        <v>95</v>
      </c>
      <c r="G57" s="95"/>
      <c r="H57" s="100"/>
      <c r="I57" s="80">
        <f t="shared" si="12"/>
        <v>1</v>
      </c>
      <c r="J57" s="80">
        <f t="shared" si="13"/>
        <v>1</v>
      </c>
      <c r="K57" s="50">
        <f t="shared" si="14"/>
        <v>0</v>
      </c>
      <c r="L57" s="81">
        <f t="shared" si="15"/>
        <v>0</v>
      </c>
      <c r="M57" s="42" t="str">
        <f t="shared" si="21"/>
        <v>offen</v>
      </c>
      <c r="N57" s="50"/>
      <c r="O57" s="44">
        <v>1</v>
      </c>
      <c r="P57" s="135">
        <f t="shared" si="16"/>
        <v>0</v>
      </c>
      <c r="Q57" s="135">
        <f t="shared" si="17"/>
        <v>0</v>
      </c>
      <c r="R57" s="135">
        <f t="shared" si="18"/>
        <v>1</v>
      </c>
      <c r="S57" s="135">
        <f t="shared" si="19"/>
        <v>0</v>
      </c>
      <c r="T57" s="135">
        <f t="shared" si="20"/>
        <v>0</v>
      </c>
    </row>
    <row r="58" spans="1:20" customFormat="1" ht="14.4">
      <c r="A58" s="53" t="str">
        <f t="shared" si="22"/>
        <v>1</v>
      </c>
      <c r="B58" s="51" t="s">
        <v>94</v>
      </c>
      <c r="C58" s="51" t="s">
        <v>572</v>
      </c>
      <c r="D58" s="55" t="s">
        <v>573</v>
      </c>
      <c r="E58" s="290" t="s">
        <v>113</v>
      </c>
      <c r="F58" s="50" t="s">
        <v>95</v>
      </c>
      <c r="G58" s="95"/>
      <c r="H58" s="100"/>
      <c r="I58" s="80">
        <f t="shared" si="12"/>
        <v>1</v>
      </c>
      <c r="J58" s="80">
        <f t="shared" si="13"/>
        <v>1</v>
      </c>
      <c r="K58" s="50">
        <f t="shared" si="14"/>
        <v>0</v>
      </c>
      <c r="L58" s="81">
        <f t="shared" si="15"/>
        <v>0</v>
      </c>
      <c r="M58" s="42" t="str">
        <f t="shared" si="21"/>
        <v>offen</v>
      </c>
      <c r="N58" s="50"/>
      <c r="O58" s="44">
        <v>1</v>
      </c>
      <c r="P58" s="135">
        <f t="shared" si="16"/>
        <v>0</v>
      </c>
      <c r="Q58" s="135">
        <f t="shared" si="17"/>
        <v>0</v>
      </c>
      <c r="R58" s="135">
        <f t="shared" si="18"/>
        <v>1</v>
      </c>
      <c r="S58" s="135">
        <f t="shared" si="19"/>
        <v>0</v>
      </c>
      <c r="T58" s="135">
        <f t="shared" si="20"/>
        <v>0</v>
      </c>
    </row>
    <row r="59" spans="1:20" customFormat="1" ht="14.4">
      <c r="A59" s="53" t="str">
        <f t="shared" si="22"/>
        <v>1</v>
      </c>
      <c r="B59" s="51" t="s">
        <v>94</v>
      </c>
      <c r="C59" s="51" t="s">
        <v>574</v>
      </c>
      <c r="D59" s="55" t="s">
        <v>575</v>
      </c>
      <c r="E59" s="290" t="s">
        <v>113</v>
      </c>
      <c r="F59" s="50" t="s">
        <v>95</v>
      </c>
      <c r="G59" s="95"/>
      <c r="H59" s="100"/>
      <c r="I59" s="80">
        <f t="shared" si="12"/>
        <v>1</v>
      </c>
      <c r="J59" s="80">
        <f t="shared" si="13"/>
        <v>1</v>
      </c>
      <c r="K59" s="50">
        <f t="shared" si="14"/>
        <v>0</v>
      </c>
      <c r="L59" s="81">
        <f t="shared" si="15"/>
        <v>0</v>
      </c>
      <c r="M59" s="42" t="str">
        <f t="shared" si="21"/>
        <v>offen</v>
      </c>
      <c r="N59" s="50"/>
      <c r="O59" s="44">
        <v>1</v>
      </c>
      <c r="P59" s="135">
        <f t="shared" si="16"/>
        <v>0</v>
      </c>
      <c r="Q59" s="135">
        <f t="shared" si="17"/>
        <v>0</v>
      </c>
      <c r="R59" s="135">
        <f t="shared" si="18"/>
        <v>1</v>
      </c>
      <c r="S59" s="135">
        <f t="shared" si="19"/>
        <v>0</v>
      </c>
      <c r="T59" s="135">
        <f t="shared" si="20"/>
        <v>0</v>
      </c>
    </row>
    <row r="60" spans="1:20" customFormat="1" ht="26.4">
      <c r="A60" s="53" t="str">
        <f t="shared" si="22"/>
        <v>1</v>
      </c>
      <c r="B60" s="51" t="s">
        <v>94</v>
      </c>
      <c r="C60" s="51" t="s">
        <v>576</v>
      </c>
      <c r="D60" s="55" t="s">
        <v>577</v>
      </c>
      <c r="E60" s="290" t="s">
        <v>113</v>
      </c>
      <c r="F60" s="50" t="s">
        <v>95</v>
      </c>
      <c r="G60" s="95"/>
      <c r="H60" s="100"/>
      <c r="I60" s="80">
        <f t="shared" si="12"/>
        <v>1</v>
      </c>
      <c r="J60" s="80">
        <f t="shared" si="13"/>
        <v>1</v>
      </c>
      <c r="K60" s="50">
        <f t="shared" si="14"/>
        <v>0</v>
      </c>
      <c r="L60" s="81">
        <f t="shared" si="15"/>
        <v>0</v>
      </c>
      <c r="M60" s="42" t="str">
        <f t="shared" si="21"/>
        <v>offen</v>
      </c>
      <c r="N60" s="50"/>
      <c r="O60" s="44">
        <v>1</v>
      </c>
      <c r="P60" s="135">
        <f t="shared" si="16"/>
        <v>0</v>
      </c>
      <c r="Q60" s="135">
        <f t="shared" si="17"/>
        <v>0</v>
      </c>
      <c r="R60" s="135">
        <f t="shared" si="18"/>
        <v>1</v>
      </c>
      <c r="S60" s="135">
        <f t="shared" si="19"/>
        <v>0</v>
      </c>
      <c r="T60" s="135">
        <f t="shared" si="20"/>
        <v>0</v>
      </c>
    </row>
    <row r="61" spans="1:20" customFormat="1" ht="14.4">
      <c r="A61" s="53" t="str">
        <f t="shared" si="22"/>
        <v>1</v>
      </c>
      <c r="B61" s="51" t="s">
        <v>75</v>
      </c>
      <c r="C61" s="51" t="s">
        <v>578</v>
      </c>
      <c r="D61" s="55" t="s">
        <v>579</v>
      </c>
      <c r="E61" s="290" t="s">
        <v>113</v>
      </c>
      <c r="F61" s="50" t="s">
        <v>95</v>
      </c>
      <c r="G61" s="95"/>
      <c r="H61" s="100"/>
      <c r="I61" s="80" t="str">
        <f t="shared" si="12"/>
        <v>---</v>
      </c>
      <c r="J61" s="80" t="str">
        <f t="shared" si="13"/>
        <v>---</v>
      </c>
      <c r="K61" s="50" t="str">
        <f t="shared" si="14"/>
        <v>---</v>
      </c>
      <c r="L61" s="81" t="str">
        <f t="shared" si="15"/>
        <v>---</v>
      </c>
      <c r="M61" s="42" t="str">
        <f t="shared" si="21"/>
        <v>offen</v>
      </c>
      <c r="N61" s="50"/>
      <c r="O61" s="44"/>
      <c r="P61" s="135">
        <f t="shared" si="16"/>
        <v>1</v>
      </c>
      <c r="Q61" s="135">
        <f t="shared" si="17"/>
        <v>0</v>
      </c>
      <c r="R61" s="135">
        <f t="shared" si="18"/>
        <v>0</v>
      </c>
      <c r="S61" s="135">
        <f t="shared" si="19"/>
        <v>0</v>
      </c>
      <c r="T61" s="135">
        <f t="shared" si="20"/>
        <v>0</v>
      </c>
    </row>
    <row r="62" spans="1:20" customFormat="1" ht="26.4">
      <c r="A62" s="53" t="str">
        <f t="shared" si="22"/>
        <v>1</v>
      </c>
      <c r="B62" s="51" t="s">
        <v>94</v>
      </c>
      <c r="C62" s="51" t="s">
        <v>580</v>
      </c>
      <c r="D62" s="148" t="s">
        <v>581</v>
      </c>
      <c r="E62" s="290" t="s">
        <v>113</v>
      </c>
      <c r="F62" s="50" t="s">
        <v>95</v>
      </c>
      <c r="G62" s="95"/>
      <c r="H62" s="100"/>
      <c r="I62" s="80">
        <f t="shared" si="12"/>
        <v>1</v>
      </c>
      <c r="J62" s="80">
        <f t="shared" si="13"/>
        <v>5</v>
      </c>
      <c r="K62" s="50">
        <f t="shared" si="14"/>
        <v>0</v>
      </c>
      <c r="L62" s="81">
        <f t="shared" si="15"/>
        <v>0</v>
      </c>
      <c r="M62" s="42" t="str">
        <f t="shared" si="21"/>
        <v>offen</v>
      </c>
      <c r="N62" s="50"/>
      <c r="O62" s="44">
        <v>5</v>
      </c>
      <c r="P62" s="135">
        <f t="shared" si="16"/>
        <v>0</v>
      </c>
      <c r="Q62" s="135">
        <f t="shared" si="17"/>
        <v>0</v>
      </c>
      <c r="R62" s="135">
        <f t="shared" si="18"/>
        <v>1</v>
      </c>
      <c r="S62" s="135">
        <f t="shared" si="19"/>
        <v>0</v>
      </c>
      <c r="T62" s="135">
        <f t="shared" si="20"/>
        <v>0</v>
      </c>
    </row>
    <row r="63" spans="1:20" customFormat="1" ht="31.2" customHeight="1">
      <c r="A63" s="53" t="str">
        <f t="shared" si="22"/>
        <v>1</v>
      </c>
      <c r="B63" s="51" t="s">
        <v>94</v>
      </c>
      <c r="C63" s="51" t="s">
        <v>582</v>
      </c>
      <c r="D63" s="148" t="s">
        <v>583</v>
      </c>
      <c r="E63" s="290" t="s">
        <v>113</v>
      </c>
      <c r="F63" s="50" t="s">
        <v>95</v>
      </c>
      <c r="G63" s="95"/>
      <c r="H63" s="100"/>
      <c r="I63" s="80">
        <f t="shared" si="12"/>
        <v>1</v>
      </c>
      <c r="J63" s="80">
        <f t="shared" si="13"/>
        <v>5</v>
      </c>
      <c r="K63" s="50">
        <f t="shared" si="14"/>
        <v>0</v>
      </c>
      <c r="L63" s="81">
        <f t="shared" si="15"/>
        <v>0</v>
      </c>
      <c r="M63" s="42" t="str">
        <f t="shared" si="21"/>
        <v>offen</v>
      </c>
      <c r="N63" s="50"/>
      <c r="O63" s="44">
        <v>5</v>
      </c>
      <c r="P63" s="135">
        <f t="shared" si="16"/>
        <v>0</v>
      </c>
      <c r="Q63" s="135">
        <f t="shared" si="17"/>
        <v>0</v>
      </c>
      <c r="R63" s="135">
        <f t="shared" si="18"/>
        <v>1</v>
      </c>
      <c r="S63" s="135">
        <f t="shared" si="19"/>
        <v>0</v>
      </c>
      <c r="T63" s="135">
        <f t="shared" si="20"/>
        <v>0</v>
      </c>
    </row>
    <row r="64" spans="1:20" customFormat="1" ht="26.4">
      <c r="A64" s="53" t="str">
        <f t="shared" si="22"/>
        <v>1</v>
      </c>
      <c r="B64" s="51" t="s">
        <v>94</v>
      </c>
      <c r="C64" s="51" t="s">
        <v>584</v>
      </c>
      <c r="D64" s="148" t="s">
        <v>585</v>
      </c>
      <c r="E64" s="290" t="s">
        <v>113</v>
      </c>
      <c r="F64" s="50" t="s">
        <v>95</v>
      </c>
      <c r="G64" s="95"/>
      <c r="H64" s="100"/>
      <c r="I64" s="80">
        <f t="shared" si="12"/>
        <v>1</v>
      </c>
      <c r="J64" s="80">
        <f t="shared" si="13"/>
        <v>5</v>
      </c>
      <c r="K64" s="50">
        <f t="shared" si="14"/>
        <v>0</v>
      </c>
      <c r="L64" s="81">
        <f t="shared" si="15"/>
        <v>0</v>
      </c>
      <c r="M64" s="42" t="str">
        <f t="shared" si="21"/>
        <v>offen</v>
      </c>
      <c r="N64" s="50"/>
      <c r="O64" s="44">
        <v>5</v>
      </c>
      <c r="P64" s="135">
        <f t="shared" si="16"/>
        <v>0</v>
      </c>
      <c r="Q64" s="135">
        <f t="shared" si="17"/>
        <v>0</v>
      </c>
      <c r="R64" s="135">
        <f t="shared" si="18"/>
        <v>1</v>
      </c>
      <c r="S64" s="135">
        <f t="shared" si="19"/>
        <v>0</v>
      </c>
      <c r="T64" s="135">
        <f t="shared" si="20"/>
        <v>0</v>
      </c>
    </row>
    <row r="65" spans="1:20" customFormat="1" ht="16.5" customHeight="1">
      <c r="A65" s="53" t="str">
        <f t="shared" si="22"/>
        <v>1</v>
      </c>
      <c r="B65" s="51" t="s">
        <v>94</v>
      </c>
      <c r="C65" s="51" t="s">
        <v>586</v>
      </c>
      <c r="D65" s="55" t="s">
        <v>587</v>
      </c>
      <c r="E65" s="290" t="s">
        <v>113</v>
      </c>
      <c r="F65" s="50" t="s">
        <v>95</v>
      </c>
      <c r="G65" s="95"/>
      <c r="H65" s="100"/>
      <c r="I65" s="80">
        <f t="shared" si="12"/>
        <v>1</v>
      </c>
      <c r="J65" s="80">
        <f t="shared" si="13"/>
        <v>5</v>
      </c>
      <c r="K65" s="50">
        <f t="shared" si="14"/>
        <v>0</v>
      </c>
      <c r="L65" s="81">
        <f t="shared" si="15"/>
        <v>0</v>
      </c>
      <c r="M65" s="42" t="str">
        <f t="shared" si="21"/>
        <v>offen</v>
      </c>
      <c r="N65" s="50"/>
      <c r="O65" s="44">
        <v>5</v>
      </c>
      <c r="P65" s="135">
        <f t="shared" si="16"/>
        <v>0</v>
      </c>
      <c r="Q65" s="135">
        <f t="shared" si="17"/>
        <v>0</v>
      </c>
      <c r="R65" s="135">
        <f t="shared" si="18"/>
        <v>1</v>
      </c>
      <c r="S65" s="135">
        <f t="shared" si="19"/>
        <v>0</v>
      </c>
      <c r="T65" s="135">
        <f t="shared" si="20"/>
        <v>0</v>
      </c>
    </row>
    <row r="66" spans="1:20" customFormat="1" ht="14.4">
      <c r="A66" s="53" t="str">
        <f t="shared" si="22"/>
        <v>1</v>
      </c>
      <c r="B66" s="51" t="s">
        <v>94</v>
      </c>
      <c r="C66" s="51" t="s">
        <v>588</v>
      </c>
      <c r="D66" s="148" t="s">
        <v>589</v>
      </c>
      <c r="E66" s="290" t="s">
        <v>113</v>
      </c>
      <c r="F66" s="50" t="s">
        <v>95</v>
      </c>
      <c r="G66" s="95"/>
      <c r="H66" s="100"/>
      <c r="I66" s="80">
        <f t="shared" si="12"/>
        <v>1</v>
      </c>
      <c r="J66" s="80">
        <f t="shared" si="13"/>
        <v>1</v>
      </c>
      <c r="K66" s="50">
        <f t="shared" si="14"/>
        <v>0</v>
      </c>
      <c r="L66" s="81">
        <f t="shared" si="15"/>
        <v>0</v>
      </c>
      <c r="M66" s="42" t="str">
        <f t="shared" si="21"/>
        <v>offen</v>
      </c>
      <c r="N66" s="50"/>
      <c r="O66" s="44">
        <v>1</v>
      </c>
      <c r="P66" s="135">
        <f t="shared" si="16"/>
        <v>0</v>
      </c>
      <c r="Q66" s="135">
        <f t="shared" si="17"/>
        <v>0</v>
      </c>
      <c r="R66" s="135">
        <f t="shared" si="18"/>
        <v>1</v>
      </c>
      <c r="S66" s="135">
        <f t="shared" si="19"/>
        <v>0</v>
      </c>
      <c r="T66" s="135">
        <f t="shared" si="20"/>
        <v>0</v>
      </c>
    </row>
    <row r="67" spans="1:20" customFormat="1" ht="16.5" customHeight="1">
      <c r="A67" s="53" t="str">
        <f t="shared" si="22"/>
        <v>1</v>
      </c>
      <c r="B67" s="51" t="s">
        <v>94</v>
      </c>
      <c r="C67" s="51" t="s">
        <v>590</v>
      </c>
      <c r="D67" s="148" t="s">
        <v>591</v>
      </c>
      <c r="E67" s="290" t="s">
        <v>113</v>
      </c>
      <c r="F67" s="50" t="s">
        <v>95</v>
      </c>
      <c r="G67" s="95"/>
      <c r="H67" s="100"/>
      <c r="I67" s="80">
        <f t="shared" si="12"/>
        <v>1</v>
      </c>
      <c r="J67" s="80">
        <f t="shared" si="13"/>
        <v>5</v>
      </c>
      <c r="K67" s="50">
        <f t="shared" si="14"/>
        <v>0</v>
      </c>
      <c r="L67" s="81">
        <f t="shared" si="15"/>
        <v>0</v>
      </c>
      <c r="M67" s="42" t="str">
        <f t="shared" si="21"/>
        <v>offen</v>
      </c>
      <c r="N67" s="50"/>
      <c r="O67" s="44">
        <v>5</v>
      </c>
      <c r="P67" s="135">
        <f t="shared" si="16"/>
        <v>0</v>
      </c>
      <c r="Q67" s="135">
        <f t="shared" si="17"/>
        <v>0</v>
      </c>
      <c r="R67" s="135">
        <f t="shared" si="18"/>
        <v>1</v>
      </c>
      <c r="S67" s="135">
        <f t="shared" si="19"/>
        <v>0</v>
      </c>
      <c r="T67" s="135">
        <f t="shared" si="20"/>
        <v>0</v>
      </c>
    </row>
    <row r="68" spans="1:20" customFormat="1" ht="28.95" customHeight="1">
      <c r="A68" s="53" t="str">
        <f t="shared" si="22"/>
        <v>1</v>
      </c>
      <c r="B68" s="51" t="s">
        <v>94</v>
      </c>
      <c r="C68" s="51" t="s">
        <v>592</v>
      </c>
      <c r="D68" s="148" t="s">
        <v>593</v>
      </c>
      <c r="E68" s="290" t="s">
        <v>113</v>
      </c>
      <c r="F68" s="50" t="s">
        <v>95</v>
      </c>
      <c r="G68" s="95"/>
      <c r="H68" s="100"/>
      <c r="I68" s="80">
        <f t="shared" si="12"/>
        <v>1</v>
      </c>
      <c r="J68" s="80">
        <f t="shared" si="13"/>
        <v>1</v>
      </c>
      <c r="K68" s="50">
        <f t="shared" si="14"/>
        <v>0</v>
      </c>
      <c r="L68" s="81">
        <f t="shared" si="15"/>
        <v>0</v>
      </c>
      <c r="M68" s="42" t="str">
        <f t="shared" si="21"/>
        <v>offen</v>
      </c>
      <c r="N68" s="50"/>
      <c r="O68" s="44">
        <v>1</v>
      </c>
      <c r="P68" s="135">
        <f t="shared" si="16"/>
        <v>0</v>
      </c>
      <c r="Q68" s="135">
        <f t="shared" si="17"/>
        <v>0</v>
      </c>
      <c r="R68" s="135">
        <f t="shared" si="18"/>
        <v>1</v>
      </c>
      <c r="S68" s="135">
        <f t="shared" si="19"/>
        <v>0</v>
      </c>
      <c r="T68" s="135">
        <f t="shared" si="20"/>
        <v>0</v>
      </c>
    </row>
    <row r="69" spans="1:20" customFormat="1" ht="16.5" customHeight="1">
      <c r="A69" s="53" t="str">
        <f t="shared" si="22"/>
        <v>1</v>
      </c>
      <c r="B69" s="51" t="s">
        <v>94</v>
      </c>
      <c r="C69" s="51" t="s">
        <v>594</v>
      </c>
      <c r="D69" s="55" t="s">
        <v>595</v>
      </c>
      <c r="E69" s="290" t="s">
        <v>113</v>
      </c>
      <c r="F69" s="50" t="s">
        <v>95</v>
      </c>
      <c r="G69" s="95"/>
      <c r="H69" s="100"/>
      <c r="I69" s="80">
        <f t="shared" si="12"/>
        <v>1</v>
      </c>
      <c r="J69" s="80">
        <f t="shared" si="13"/>
        <v>5</v>
      </c>
      <c r="K69" s="50">
        <f t="shared" si="14"/>
        <v>0</v>
      </c>
      <c r="L69" s="81">
        <f t="shared" si="15"/>
        <v>0</v>
      </c>
      <c r="M69" s="42" t="str">
        <f t="shared" si="21"/>
        <v>offen</v>
      </c>
      <c r="N69" s="50"/>
      <c r="O69" s="44">
        <v>5</v>
      </c>
      <c r="P69" s="135">
        <f t="shared" si="16"/>
        <v>0</v>
      </c>
      <c r="Q69" s="135">
        <f t="shared" si="17"/>
        <v>0</v>
      </c>
      <c r="R69" s="135">
        <f t="shared" si="18"/>
        <v>1</v>
      </c>
      <c r="S69" s="135">
        <f t="shared" si="19"/>
        <v>0</v>
      </c>
      <c r="T69" s="135">
        <f t="shared" si="20"/>
        <v>0</v>
      </c>
    </row>
    <row r="70" spans="1:20" customFormat="1" ht="14.4">
      <c r="A70" s="334"/>
      <c r="B70" s="51"/>
      <c r="C70" s="51"/>
      <c r="D70" s="55"/>
      <c r="E70" s="290"/>
      <c r="F70" s="50"/>
      <c r="G70" s="50"/>
      <c r="H70" s="50"/>
      <c r="I70" s="80" t="str">
        <f t="shared" si="12"/>
        <v/>
      </c>
      <c r="J70" s="80" t="str">
        <f t="shared" si="13"/>
        <v/>
      </c>
      <c r="K70" s="50" t="str">
        <f t="shared" si="14"/>
        <v/>
      </c>
      <c r="L70" s="81" t="str">
        <f t="shared" si="15"/>
        <v/>
      </c>
      <c r="M70" s="81" t="str">
        <f t="shared" si="21"/>
        <v/>
      </c>
      <c r="N70" s="50"/>
      <c r="O70" s="44"/>
      <c r="P70" s="135">
        <f t="shared" si="16"/>
        <v>0</v>
      </c>
      <c r="Q70" s="135">
        <f t="shared" si="17"/>
        <v>0</v>
      </c>
      <c r="R70" s="135">
        <f t="shared" si="18"/>
        <v>0</v>
      </c>
      <c r="S70" s="135">
        <f t="shared" si="19"/>
        <v>0</v>
      </c>
      <c r="T70" s="135">
        <f t="shared" si="20"/>
        <v>0</v>
      </c>
    </row>
    <row r="71" spans="1:20" ht="14.4">
      <c r="A71" s="53" t="str">
        <f>IF(D71="","","1")</f>
        <v>1</v>
      </c>
      <c r="B71" s="51" t="s">
        <v>153</v>
      </c>
      <c r="C71" s="150" t="s">
        <v>596</v>
      </c>
      <c r="D71" s="55" t="s">
        <v>597</v>
      </c>
      <c r="E71" s="290"/>
      <c r="F71" s="50"/>
      <c r="G71" s="316"/>
      <c r="H71" s="317"/>
      <c r="I71" s="80" t="str">
        <f t="shared" si="12"/>
        <v/>
      </c>
      <c r="J71" s="80" t="str">
        <f t="shared" si="13"/>
        <v/>
      </c>
      <c r="K71" s="50" t="str">
        <f t="shared" si="14"/>
        <v/>
      </c>
      <c r="L71" s="81" t="str">
        <f t="shared" si="15"/>
        <v/>
      </c>
      <c r="M71" s="42" t="str">
        <f t="shared" si="21"/>
        <v/>
      </c>
      <c r="N71" s="50"/>
      <c r="P71" s="135">
        <f t="shared" si="16"/>
        <v>0</v>
      </c>
      <c r="Q71" s="135">
        <f t="shared" si="17"/>
        <v>0</v>
      </c>
      <c r="R71" s="135">
        <f t="shared" si="18"/>
        <v>0</v>
      </c>
      <c r="S71" s="135">
        <f t="shared" si="19"/>
        <v>0</v>
      </c>
      <c r="T71" s="135">
        <f t="shared" si="20"/>
        <v>0</v>
      </c>
    </row>
    <row r="72" spans="1:20" customFormat="1" ht="14.4">
      <c r="A72" s="53" t="str">
        <f>IF(D72="","","1")</f>
        <v>1</v>
      </c>
      <c r="B72" s="51" t="s">
        <v>75</v>
      </c>
      <c r="C72" s="51" t="s">
        <v>598</v>
      </c>
      <c r="D72" s="55" t="s">
        <v>599</v>
      </c>
      <c r="E72" s="290" t="s">
        <v>113</v>
      </c>
      <c r="F72" s="50" t="s">
        <v>95</v>
      </c>
      <c r="G72" s="95"/>
      <c r="H72" s="100"/>
      <c r="I72" s="80" t="str">
        <f t="shared" si="12"/>
        <v>---</v>
      </c>
      <c r="J72" s="80" t="str">
        <f t="shared" si="13"/>
        <v>---</v>
      </c>
      <c r="K72" s="50" t="str">
        <f t="shared" si="14"/>
        <v>---</v>
      </c>
      <c r="L72" s="81" t="str">
        <f t="shared" si="15"/>
        <v>---</v>
      </c>
      <c r="M72" s="42" t="str">
        <f t="shared" si="21"/>
        <v>offen</v>
      </c>
      <c r="N72" s="50"/>
      <c r="O72" s="44"/>
      <c r="P72" s="135">
        <f t="shared" si="16"/>
        <v>1</v>
      </c>
      <c r="Q72" s="135">
        <f t="shared" si="17"/>
        <v>0</v>
      </c>
      <c r="R72" s="135">
        <f t="shared" si="18"/>
        <v>0</v>
      </c>
      <c r="S72" s="135">
        <f t="shared" si="19"/>
        <v>0</v>
      </c>
      <c r="T72" s="135">
        <f t="shared" si="20"/>
        <v>0</v>
      </c>
    </row>
    <row r="73" spans="1:20" customFormat="1" ht="14.4">
      <c r="A73" s="53" t="str">
        <f>IF(D73="","","1")</f>
        <v>1</v>
      </c>
      <c r="B73" s="51" t="s">
        <v>94</v>
      </c>
      <c r="C73" s="51" t="s">
        <v>600</v>
      </c>
      <c r="D73" s="148" t="s">
        <v>601</v>
      </c>
      <c r="E73" s="290" t="s">
        <v>113</v>
      </c>
      <c r="F73" s="50" t="s">
        <v>95</v>
      </c>
      <c r="G73" s="95"/>
      <c r="H73" s="100"/>
      <c r="I73" s="80">
        <f t="shared" ref="I73:I101" si="23">IF(B73="","",IF(B73="B-Kriterium",1,"---"))</f>
        <v>1</v>
      </c>
      <c r="J73" s="80">
        <f t="shared" ref="J73:J101" si="24">IF(B73="","",IF(B73="A-Kriterium","---",O73))</f>
        <v>5</v>
      </c>
      <c r="K73" s="50">
        <f t="shared" ref="K73:K101" si="25">IF($B73="A-Kriterium","---",IF(B73="","",IF(AND(B73="B-Kriterium",G73="ja"),J73,0)))</f>
        <v>0</v>
      </c>
      <c r="L73" s="81">
        <f t="shared" ref="L73:L101" si="26">IF(B73="A-Kriterium","---",IF(B73="","",I73*K73))</f>
        <v>0</v>
      </c>
      <c r="M73" s="42" t="str">
        <f t="shared" si="21"/>
        <v>offen</v>
      </c>
      <c r="N73" s="50"/>
      <c r="O73" s="44">
        <v>5</v>
      </c>
      <c r="P73" s="135">
        <f t="shared" ref="P73:P101" si="27">IF(AND($F73="Bieter/in",$B73="A-Kriterium",$M73=P$9),1,0)</f>
        <v>0</v>
      </c>
      <c r="Q73" s="135">
        <f t="shared" ref="Q73:Q101" si="28">IF(AND($F73="Auftragsgeber/in",$B73="A-Kriterium",$M73=Q$9),1,0)</f>
        <v>0</v>
      </c>
      <c r="R73" s="135">
        <f t="shared" ref="R73:R101" si="29">IF(AND($F73="Bieter/in",$B73="B-Kriterium",$M73=R$9),1,0)</f>
        <v>1</v>
      </c>
      <c r="S73" s="135">
        <f t="shared" ref="S73:S101" si="30">IF(AND($F73="Auftragsgeber/in",$B73="B-Kriterium",$M73=S$9),1,0)</f>
        <v>0</v>
      </c>
      <c r="T73" s="135">
        <f t="shared" ref="T73:T101" si="31">IF(M73="nok",1,0)</f>
        <v>0</v>
      </c>
    </row>
    <row r="74" spans="1:20" customFormat="1" ht="14.4">
      <c r="A74" s="334"/>
      <c r="B74" s="51"/>
      <c r="C74" s="51"/>
      <c r="D74" s="148"/>
      <c r="E74" s="290"/>
      <c r="F74" s="50"/>
      <c r="G74" s="50"/>
      <c r="H74" s="50"/>
      <c r="I74" s="80" t="str">
        <f t="shared" si="23"/>
        <v/>
      </c>
      <c r="J74" s="80" t="str">
        <f t="shared" si="24"/>
        <v/>
      </c>
      <c r="K74" s="50" t="str">
        <f t="shared" si="25"/>
        <v/>
      </c>
      <c r="L74" s="81" t="str">
        <f t="shared" si="26"/>
        <v/>
      </c>
      <c r="M74" s="81" t="str">
        <f t="shared" ref="M74:M102" si="32">IF(AND(ISBLANK(G74)=FALSE,B74="B-Kriterium"),"ok",IF($B74="","",IF(AND(B74="A-Kriterium",G74="ja"),"ok",IF(AND(B74="A-Kriterium",G74="nein"),"nok","offen"))))</f>
        <v/>
      </c>
      <c r="N74" s="50"/>
      <c r="O74" s="44"/>
      <c r="P74" s="135">
        <f t="shared" si="27"/>
        <v>0</v>
      </c>
      <c r="Q74" s="135">
        <f t="shared" si="28"/>
        <v>0</v>
      </c>
      <c r="R74" s="135">
        <f t="shared" si="29"/>
        <v>0</v>
      </c>
      <c r="S74" s="135">
        <f t="shared" si="30"/>
        <v>0</v>
      </c>
      <c r="T74" s="135">
        <f t="shared" si="31"/>
        <v>0</v>
      </c>
    </row>
    <row r="75" spans="1:20" ht="14.4">
      <c r="A75" s="53" t="str">
        <f>IF(D75="","","1")</f>
        <v>1</v>
      </c>
      <c r="B75" s="51" t="s">
        <v>153</v>
      </c>
      <c r="C75" s="150" t="s">
        <v>602</v>
      </c>
      <c r="D75" s="55" t="s">
        <v>603</v>
      </c>
      <c r="E75" s="290"/>
      <c r="F75" s="50"/>
      <c r="G75" s="316"/>
      <c r="H75" s="317"/>
      <c r="I75" s="80" t="str">
        <f t="shared" si="23"/>
        <v/>
      </c>
      <c r="J75" s="80" t="str">
        <f t="shared" si="24"/>
        <v/>
      </c>
      <c r="K75" s="50" t="str">
        <f t="shared" si="25"/>
        <v/>
      </c>
      <c r="L75" s="81" t="str">
        <f t="shared" si="26"/>
        <v/>
      </c>
      <c r="M75" s="42" t="str">
        <f t="shared" si="32"/>
        <v/>
      </c>
      <c r="N75" s="50"/>
      <c r="P75" s="135">
        <f t="shared" si="27"/>
        <v>0</v>
      </c>
      <c r="Q75" s="135">
        <f t="shared" si="28"/>
        <v>0</v>
      </c>
      <c r="R75" s="135">
        <f t="shared" si="29"/>
        <v>0</v>
      </c>
      <c r="S75" s="135">
        <f t="shared" si="30"/>
        <v>0</v>
      </c>
      <c r="T75" s="135">
        <f t="shared" si="31"/>
        <v>0</v>
      </c>
    </row>
    <row r="76" spans="1:20" customFormat="1" ht="14.4">
      <c r="A76" s="53" t="str">
        <f>IF(D76="","","1")</f>
        <v>1</v>
      </c>
      <c r="B76" s="51" t="s">
        <v>75</v>
      </c>
      <c r="C76" s="51" t="s">
        <v>604</v>
      </c>
      <c r="D76" s="55" t="s">
        <v>605</v>
      </c>
      <c r="E76" s="290" t="s">
        <v>113</v>
      </c>
      <c r="F76" s="50" t="s">
        <v>95</v>
      </c>
      <c r="G76" s="95"/>
      <c r="H76" s="100"/>
      <c r="I76" s="80" t="str">
        <f t="shared" si="23"/>
        <v>---</v>
      </c>
      <c r="J76" s="80" t="str">
        <f t="shared" si="24"/>
        <v>---</v>
      </c>
      <c r="K76" s="50" t="str">
        <f t="shared" si="25"/>
        <v>---</v>
      </c>
      <c r="L76" s="81" t="str">
        <f t="shared" si="26"/>
        <v>---</v>
      </c>
      <c r="M76" s="42" t="str">
        <f t="shared" si="32"/>
        <v>offen</v>
      </c>
      <c r="N76" s="50"/>
      <c r="O76" s="44"/>
      <c r="P76" s="135">
        <f t="shared" si="27"/>
        <v>1</v>
      </c>
      <c r="Q76" s="135">
        <f t="shared" si="28"/>
        <v>0</v>
      </c>
      <c r="R76" s="135">
        <f t="shared" si="29"/>
        <v>0</v>
      </c>
      <c r="S76" s="135">
        <f t="shared" si="30"/>
        <v>0</v>
      </c>
      <c r="T76" s="135">
        <f t="shared" si="31"/>
        <v>0</v>
      </c>
    </row>
    <row r="77" spans="1:20" customFormat="1" ht="14.4">
      <c r="A77" s="53" t="str">
        <f>IF(D77="","","1")</f>
        <v>1</v>
      </c>
      <c r="B77" s="51" t="s">
        <v>75</v>
      </c>
      <c r="C77" s="51" t="s">
        <v>606</v>
      </c>
      <c r="D77" s="55" t="s">
        <v>607</v>
      </c>
      <c r="E77" s="290" t="s">
        <v>113</v>
      </c>
      <c r="F77" s="50" t="s">
        <v>95</v>
      </c>
      <c r="G77" s="95"/>
      <c r="H77" s="100"/>
      <c r="I77" s="80" t="str">
        <f t="shared" si="23"/>
        <v>---</v>
      </c>
      <c r="J77" s="80" t="str">
        <f t="shared" si="24"/>
        <v>---</v>
      </c>
      <c r="K77" s="50" t="str">
        <f t="shared" si="25"/>
        <v>---</v>
      </c>
      <c r="L77" s="81" t="str">
        <f t="shared" si="26"/>
        <v>---</v>
      </c>
      <c r="M77" s="42" t="str">
        <f t="shared" si="32"/>
        <v>offen</v>
      </c>
      <c r="N77" s="50"/>
      <c r="O77" s="44"/>
      <c r="P77" s="135">
        <f t="shared" si="27"/>
        <v>1</v>
      </c>
      <c r="Q77" s="135">
        <f t="shared" si="28"/>
        <v>0</v>
      </c>
      <c r="R77" s="135">
        <f t="shared" si="29"/>
        <v>0</v>
      </c>
      <c r="S77" s="135">
        <f t="shared" si="30"/>
        <v>0</v>
      </c>
      <c r="T77" s="135">
        <f t="shared" si="31"/>
        <v>0</v>
      </c>
    </row>
    <row r="78" spans="1:20" customFormat="1" ht="14.4">
      <c r="A78" s="53" t="str">
        <f>IF(D78="","","1")</f>
        <v>1</v>
      </c>
      <c r="B78" s="51" t="s">
        <v>94</v>
      </c>
      <c r="C78" s="51" t="s">
        <v>608</v>
      </c>
      <c r="D78" s="55" t="s">
        <v>609</v>
      </c>
      <c r="E78" s="290" t="s">
        <v>113</v>
      </c>
      <c r="F78" s="50" t="s">
        <v>95</v>
      </c>
      <c r="G78" s="95"/>
      <c r="H78" s="100"/>
      <c r="I78" s="80">
        <f t="shared" si="23"/>
        <v>1</v>
      </c>
      <c r="J78" s="80">
        <f t="shared" si="24"/>
        <v>5</v>
      </c>
      <c r="K78" s="50">
        <f t="shared" si="25"/>
        <v>0</v>
      </c>
      <c r="L78" s="81">
        <f t="shared" si="26"/>
        <v>0</v>
      </c>
      <c r="M78" s="42" t="str">
        <f t="shared" si="32"/>
        <v>offen</v>
      </c>
      <c r="N78" s="50"/>
      <c r="O78" s="44">
        <v>5</v>
      </c>
      <c r="P78" s="135">
        <f t="shared" si="27"/>
        <v>0</v>
      </c>
      <c r="Q78" s="135">
        <f t="shared" si="28"/>
        <v>0</v>
      </c>
      <c r="R78" s="135">
        <f t="shared" si="29"/>
        <v>1</v>
      </c>
      <c r="S78" s="135">
        <f t="shared" si="30"/>
        <v>0</v>
      </c>
      <c r="T78" s="135">
        <f t="shared" si="31"/>
        <v>0</v>
      </c>
    </row>
    <row r="79" spans="1:20" customFormat="1" ht="14.4">
      <c r="A79" s="53" t="str">
        <f>IF(D79="","","1")</f>
        <v>1</v>
      </c>
      <c r="B79" s="51" t="s">
        <v>94</v>
      </c>
      <c r="C79" s="51" t="s">
        <v>610</v>
      </c>
      <c r="D79" s="148" t="s">
        <v>611</v>
      </c>
      <c r="E79" s="290" t="s">
        <v>113</v>
      </c>
      <c r="F79" s="50" t="s">
        <v>95</v>
      </c>
      <c r="G79" s="95"/>
      <c r="H79" s="100"/>
      <c r="I79" s="80">
        <f t="shared" si="23"/>
        <v>1</v>
      </c>
      <c r="J79" s="80">
        <f t="shared" si="24"/>
        <v>5</v>
      </c>
      <c r="K79" s="50">
        <f t="shared" si="25"/>
        <v>0</v>
      </c>
      <c r="L79" s="81">
        <f t="shared" si="26"/>
        <v>0</v>
      </c>
      <c r="M79" s="42" t="str">
        <f t="shared" si="32"/>
        <v>offen</v>
      </c>
      <c r="N79" s="50"/>
      <c r="O79" s="44">
        <v>5</v>
      </c>
      <c r="P79" s="135">
        <f t="shared" si="27"/>
        <v>0</v>
      </c>
      <c r="Q79" s="135">
        <f t="shared" si="28"/>
        <v>0</v>
      </c>
      <c r="R79" s="135">
        <f t="shared" si="29"/>
        <v>1</v>
      </c>
      <c r="S79" s="135">
        <f t="shared" si="30"/>
        <v>0</v>
      </c>
      <c r="T79" s="135">
        <f t="shared" si="31"/>
        <v>0</v>
      </c>
    </row>
    <row r="80" spans="1:20" customFormat="1" ht="14.4">
      <c r="A80" s="334"/>
      <c r="B80" s="51"/>
      <c r="C80" s="51"/>
      <c r="D80" s="148"/>
      <c r="E80" s="290"/>
      <c r="F80" s="50"/>
      <c r="G80" s="50"/>
      <c r="H80" s="50"/>
      <c r="I80" s="80" t="str">
        <f t="shared" si="23"/>
        <v/>
      </c>
      <c r="J80" s="80" t="str">
        <f t="shared" si="24"/>
        <v/>
      </c>
      <c r="K80" s="50" t="str">
        <f t="shared" si="25"/>
        <v/>
      </c>
      <c r="L80" s="81" t="str">
        <f t="shared" si="26"/>
        <v/>
      </c>
      <c r="M80" s="81" t="str">
        <f t="shared" si="32"/>
        <v/>
      </c>
      <c r="N80" s="50"/>
      <c r="O80" s="44"/>
      <c r="P80" s="135">
        <f t="shared" si="27"/>
        <v>0</v>
      </c>
      <c r="Q80" s="135">
        <f t="shared" si="28"/>
        <v>0</v>
      </c>
      <c r="R80" s="135">
        <f t="shared" si="29"/>
        <v>0</v>
      </c>
      <c r="S80" s="135">
        <f t="shared" si="30"/>
        <v>0</v>
      </c>
      <c r="T80" s="135">
        <f t="shared" si="31"/>
        <v>0</v>
      </c>
    </row>
    <row r="81" spans="1:20" ht="14.4">
      <c r="A81" s="53" t="str">
        <f t="shared" ref="A81:A93" si="33">IF(D81="","","1")</f>
        <v>1</v>
      </c>
      <c r="B81" s="51" t="s">
        <v>153</v>
      </c>
      <c r="C81" s="150" t="s">
        <v>612</v>
      </c>
      <c r="D81" s="148" t="s">
        <v>613</v>
      </c>
      <c r="E81" s="290"/>
      <c r="F81" s="50"/>
      <c r="G81" s="316"/>
      <c r="H81" s="317"/>
      <c r="I81" s="80" t="str">
        <f t="shared" si="23"/>
        <v/>
      </c>
      <c r="J81" s="80" t="str">
        <f t="shared" si="24"/>
        <v/>
      </c>
      <c r="K81" s="50" t="str">
        <f t="shared" si="25"/>
        <v/>
      </c>
      <c r="L81" s="81" t="str">
        <f t="shared" si="26"/>
        <v/>
      </c>
      <c r="M81" s="42" t="str">
        <f t="shared" si="32"/>
        <v/>
      </c>
      <c r="N81" s="50"/>
      <c r="P81" s="135">
        <f t="shared" si="27"/>
        <v>0</v>
      </c>
      <c r="Q81" s="135">
        <f t="shared" si="28"/>
        <v>0</v>
      </c>
      <c r="R81" s="135">
        <f t="shared" si="29"/>
        <v>0</v>
      </c>
      <c r="S81" s="135">
        <f t="shared" si="30"/>
        <v>0</v>
      </c>
      <c r="T81" s="135">
        <f t="shared" si="31"/>
        <v>0</v>
      </c>
    </row>
    <row r="82" spans="1:20" customFormat="1" ht="14.4">
      <c r="A82" s="53" t="str">
        <f t="shared" si="33"/>
        <v>1</v>
      </c>
      <c r="B82" s="51" t="s">
        <v>75</v>
      </c>
      <c r="C82" s="51" t="s">
        <v>614</v>
      </c>
      <c r="D82" s="148" t="s">
        <v>615</v>
      </c>
      <c r="E82" s="290" t="s">
        <v>113</v>
      </c>
      <c r="F82" s="50" t="s">
        <v>95</v>
      </c>
      <c r="G82" s="95"/>
      <c r="H82" s="100"/>
      <c r="I82" s="80" t="str">
        <f t="shared" si="23"/>
        <v>---</v>
      </c>
      <c r="J82" s="80" t="str">
        <f t="shared" si="24"/>
        <v>---</v>
      </c>
      <c r="K82" s="50" t="str">
        <f t="shared" si="25"/>
        <v>---</v>
      </c>
      <c r="L82" s="81" t="str">
        <f t="shared" si="26"/>
        <v>---</v>
      </c>
      <c r="M82" s="42" t="str">
        <f t="shared" si="32"/>
        <v>offen</v>
      </c>
      <c r="N82" s="50"/>
      <c r="O82" s="44"/>
      <c r="P82" s="135">
        <f t="shared" si="27"/>
        <v>1</v>
      </c>
      <c r="Q82" s="135">
        <f t="shared" si="28"/>
        <v>0</v>
      </c>
      <c r="R82" s="135">
        <f t="shared" si="29"/>
        <v>0</v>
      </c>
      <c r="S82" s="135">
        <f t="shared" si="30"/>
        <v>0</v>
      </c>
      <c r="T82" s="135">
        <f t="shared" si="31"/>
        <v>0</v>
      </c>
    </row>
    <row r="83" spans="1:20" customFormat="1" ht="30" customHeight="1">
      <c r="A83" s="53" t="str">
        <f t="shared" si="33"/>
        <v>1</v>
      </c>
      <c r="B83" s="51" t="s">
        <v>75</v>
      </c>
      <c r="C83" s="51" t="s">
        <v>616</v>
      </c>
      <c r="D83" s="148" t="s">
        <v>617</v>
      </c>
      <c r="E83" s="290" t="s">
        <v>113</v>
      </c>
      <c r="F83" s="50" t="s">
        <v>95</v>
      </c>
      <c r="G83" s="95"/>
      <c r="H83" s="100"/>
      <c r="I83" s="80" t="str">
        <f t="shared" si="23"/>
        <v>---</v>
      </c>
      <c r="J83" s="80" t="str">
        <f t="shared" si="24"/>
        <v>---</v>
      </c>
      <c r="K83" s="50" t="str">
        <f t="shared" si="25"/>
        <v>---</v>
      </c>
      <c r="L83" s="81" t="str">
        <f t="shared" si="26"/>
        <v>---</v>
      </c>
      <c r="M83" s="42" t="str">
        <f t="shared" si="32"/>
        <v>offen</v>
      </c>
      <c r="N83" s="50"/>
      <c r="O83" s="293"/>
      <c r="P83" s="135">
        <f t="shared" si="27"/>
        <v>1</v>
      </c>
      <c r="Q83" s="135">
        <f t="shared" si="28"/>
        <v>0</v>
      </c>
      <c r="R83" s="135">
        <f t="shared" si="29"/>
        <v>0</v>
      </c>
      <c r="S83" s="135">
        <f t="shared" si="30"/>
        <v>0</v>
      </c>
      <c r="T83" s="135">
        <f t="shared" si="31"/>
        <v>0</v>
      </c>
    </row>
    <row r="84" spans="1:20" customFormat="1" ht="27.45" customHeight="1">
      <c r="A84" s="53" t="str">
        <f t="shared" si="33"/>
        <v>1</v>
      </c>
      <c r="B84" s="51" t="s">
        <v>94</v>
      </c>
      <c r="C84" s="51" t="s">
        <v>618</v>
      </c>
      <c r="D84" s="148" t="s">
        <v>619</v>
      </c>
      <c r="E84" s="290" t="s">
        <v>113</v>
      </c>
      <c r="F84" s="50" t="s">
        <v>95</v>
      </c>
      <c r="G84" s="95"/>
      <c r="H84" s="100"/>
      <c r="I84" s="80">
        <f t="shared" si="23"/>
        <v>1</v>
      </c>
      <c r="J84" s="80">
        <f t="shared" si="24"/>
        <v>1</v>
      </c>
      <c r="K84" s="50">
        <f t="shared" si="25"/>
        <v>0</v>
      </c>
      <c r="L84" s="81">
        <f t="shared" si="26"/>
        <v>0</v>
      </c>
      <c r="M84" s="42" t="str">
        <f t="shared" si="32"/>
        <v>offen</v>
      </c>
      <c r="N84" s="50"/>
      <c r="O84" s="44">
        <v>1</v>
      </c>
      <c r="P84" s="135">
        <f t="shared" si="27"/>
        <v>0</v>
      </c>
      <c r="Q84" s="135">
        <f t="shared" si="28"/>
        <v>0</v>
      </c>
      <c r="R84" s="135">
        <f t="shared" si="29"/>
        <v>1</v>
      </c>
      <c r="S84" s="135">
        <f t="shared" si="30"/>
        <v>0</v>
      </c>
      <c r="T84" s="135">
        <f t="shared" si="31"/>
        <v>0</v>
      </c>
    </row>
    <row r="85" spans="1:20" customFormat="1" ht="14.4">
      <c r="A85" s="53" t="str">
        <f t="shared" si="33"/>
        <v>1</v>
      </c>
      <c r="B85" s="32"/>
      <c r="C85" s="32"/>
      <c r="D85" s="75" t="s">
        <v>518</v>
      </c>
      <c r="E85" s="290"/>
      <c r="F85" s="50"/>
      <c r="G85" s="79"/>
      <c r="H85" s="315"/>
      <c r="I85" s="80" t="str">
        <f t="shared" si="23"/>
        <v/>
      </c>
      <c r="J85" s="80" t="str">
        <f t="shared" si="24"/>
        <v/>
      </c>
      <c r="K85" s="50" t="str">
        <f t="shared" si="25"/>
        <v/>
      </c>
      <c r="L85" s="81" t="str">
        <f t="shared" si="26"/>
        <v/>
      </c>
      <c r="M85" s="81" t="str">
        <f t="shared" si="32"/>
        <v/>
      </c>
      <c r="N85" s="79"/>
      <c r="O85" s="32"/>
      <c r="P85" s="135">
        <f t="shared" si="27"/>
        <v>0</v>
      </c>
      <c r="Q85" s="135">
        <f t="shared" si="28"/>
        <v>0</v>
      </c>
      <c r="R85" s="135">
        <f t="shared" si="29"/>
        <v>0</v>
      </c>
      <c r="S85" s="135">
        <f t="shared" si="30"/>
        <v>0</v>
      </c>
      <c r="T85" s="135">
        <f t="shared" si="31"/>
        <v>0</v>
      </c>
    </row>
    <row r="86" spans="1:20" customFormat="1" ht="14.4">
      <c r="A86" s="53" t="str">
        <f t="shared" si="33"/>
        <v>1</v>
      </c>
      <c r="B86" s="51" t="s">
        <v>94</v>
      </c>
      <c r="C86" s="51" t="s">
        <v>620</v>
      </c>
      <c r="D86" s="267" t="s">
        <v>621</v>
      </c>
      <c r="E86" s="290" t="s">
        <v>113</v>
      </c>
      <c r="F86" s="50" t="s">
        <v>95</v>
      </c>
      <c r="G86" s="95"/>
      <c r="H86" s="100"/>
      <c r="I86" s="80">
        <f t="shared" si="23"/>
        <v>1</v>
      </c>
      <c r="J86" s="80">
        <f t="shared" si="24"/>
        <v>1</v>
      </c>
      <c r="K86" s="50">
        <f t="shared" si="25"/>
        <v>0</v>
      </c>
      <c r="L86" s="81">
        <f t="shared" si="26"/>
        <v>0</v>
      </c>
      <c r="M86" s="42" t="str">
        <f t="shared" si="32"/>
        <v>offen</v>
      </c>
      <c r="N86" s="50"/>
      <c r="O86" s="44">
        <v>1</v>
      </c>
      <c r="P86" s="135">
        <f t="shared" si="27"/>
        <v>0</v>
      </c>
      <c r="Q86" s="135">
        <f t="shared" si="28"/>
        <v>0</v>
      </c>
      <c r="R86" s="135">
        <f t="shared" si="29"/>
        <v>1</v>
      </c>
      <c r="S86" s="135">
        <f t="shared" si="30"/>
        <v>0</v>
      </c>
      <c r="T86" s="135">
        <f t="shared" si="31"/>
        <v>0</v>
      </c>
    </row>
    <row r="87" spans="1:20" customFormat="1" ht="14.4">
      <c r="A87" s="53" t="str">
        <f t="shared" si="33"/>
        <v>1</v>
      </c>
      <c r="B87" s="51" t="s">
        <v>94</v>
      </c>
      <c r="C87" s="51" t="s">
        <v>622</v>
      </c>
      <c r="D87" s="267" t="s">
        <v>623</v>
      </c>
      <c r="E87" s="290" t="s">
        <v>113</v>
      </c>
      <c r="F87" s="50" t="s">
        <v>95</v>
      </c>
      <c r="G87" s="95"/>
      <c r="H87" s="100"/>
      <c r="I87" s="80">
        <f t="shared" si="23"/>
        <v>1</v>
      </c>
      <c r="J87" s="80">
        <f t="shared" si="24"/>
        <v>1</v>
      </c>
      <c r="K87" s="50">
        <f t="shared" si="25"/>
        <v>0</v>
      </c>
      <c r="L87" s="81">
        <f t="shared" si="26"/>
        <v>0</v>
      </c>
      <c r="M87" s="42" t="str">
        <f t="shared" si="32"/>
        <v>offen</v>
      </c>
      <c r="N87" s="50"/>
      <c r="O87" s="44">
        <v>1</v>
      </c>
      <c r="P87" s="135">
        <f t="shared" si="27"/>
        <v>0</v>
      </c>
      <c r="Q87" s="135">
        <f t="shared" si="28"/>
        <v>0</v>
      </c>
      <c r="R87" s="135">
        <f t="shared" si="29"/>
        <v>1</v>
      </c>
      <c r="S87" s="135">
        <f t="shared" si="30"/>
        <v>0</v>
      </c>
      <c r="T87" s="135">
        <f t="shared" si="31"/>
        <v>0</v>
      </c>
    </row>
    <row r="88" spans="1:20" customFormat="1" ht="14.4">
      <c r="A88" s="53" t="str">
        <f t="shared" si="33"/>
        <v>1</v>
      </c>
      <c r="B88" s="51" t="s">
        <v>94</v>
      </c>
      <c r="C88" s="51" t="s">
        <v>624</v>
      </c>
      <c r="D88" s="148" t="s">
        <v>625</v>
      </c>
      <c r="E88" s="290" t="s">
        <v>113</v>
      </c>
      <c r="F88" s="50" t="s">
        <v>95</v>
      </c>
      <c r="G88" s="95"/>
      <c r="H88" s="100"/>
      <c r="I88" s="80">
        <f t="shared" si="23"/>
        <v>1</v>
      </c>
      <c r="J88" s="80">
        <f t="shared" si="24"/>
        <v>5</v>
      </c>
      <c r="K88" s="50">
        <f t="shared" si="25"/>
        <v>0</v>
      </c>
      <c r="L88" s="81">
        <f t="shared" si="26"/>
        <v>0</v>
      </c>
      <c r="M88" s="42" t="str">
        <f t="shared" si="32"/>
        <v>offen</v>
      </c>
      <c r="N88" s="50"/>
      <c r="O88" s="44">
        <v>5</v>
      </c>
      <c r="P88" s="135">
        <f t="shared" si="27"/>
        <v>0</v>
      </c>
      <c r="Q88" s="135">
        <f t="shared" si="28"/>
        <v>0</v>
      </c>
      <c r="R88" s="135">
        <f t="shared" si="29"/>
        <v>1</v>
      </c>
      <c r="S88" s="135">
        <f t="shared" si="30"/>
        <v>0</v>
      </c>
      <c r="T88" s="135">
        <f t="shared" si="31"/>
        <v>0</v>
      </c>
    </row>
    <row r="89" spans="1:20" customFormat="1" ht="14.4">
      <c r="A89" s="53" t="str">
        <f t="shared" si="33"/>
        <v>1</v>
      </c>
      <c r="B89" s="51" t="s">
        <v>94</v>
      </c>
      <c r="C89" s="51" t="s">
        <v>626</v>
      </c>
      <c r="D89" s="148" t="s">
        <v>627</v>
      </c>
      <c r="E89" s="290" t="s">
        <v>113</v>
      </c>
      <c r="F89" s="50" t="s">
        <v>95</v>
      </c>
      <c r="G89" s="95"/>
      <c r="H89" s="100"/>
      <c r="I89" s="80">
        <f t="shared" si="23"/>
        <v>1</v>
      </c>
      <c r="J89" s="80">
        <f t="shared" si="24"/>
        <v>5</v>
      </c>
      <c r="K89" s="50">
        <f t="shared" si="25"/>
        <v>0</v>
      </c>
      <c r="L89" s="81">
        <f t="shared" si="26"/>
        <v>0</v>
      </c>
      <c r="M89" s="42" t="str">
        <f t="shared" si="32"/>
        <v>offen</v>
      </c>
      <c r="N89" s="50"/>
      <c r="O89" s="44">
        <v>5</v>
      </c>
      <c r="P89" s="135">
        <f t="shared" si="27"/>
        <v>0</v>
      </c>
      <c r="Q89" s="135">
        <f t="shared" si="28"/>
        <v>0</v>
      </c>
      <c r="R89" s="135">
        <f t="shared" si="29"/>
        <v>1</v>
      </c>
      <c r="S89" s="135">
        <f t="shared" si="30"/>
        <v>0</v>
      </c>
      <c r="T89" s="135">
        <f t="shared" si="31"/>
        <v>0</v>
      </c>
    </row>
    <row r="90" spans="1:20" customFormat="1" ht="15.45" customHeight="1">
      <c r="A90" s="53" t="str">
        <f t="shared" si="33"/>
        <v>1</v>
      </c>
      <c r="B90" s="51"/>
      <c r="C90" s="51"/>
      <c r="D90" s="314" t="s">
        <v>628</v>
      </c>
      <c r="E90" s="290"/>
      <c r="F90" s="50"/>
      <c r="G90" s="326"/>
      <c r="H90" s="327"/>
      <c r="I90" s="80" t="str">
        <f t="shared" si="23"/>
        <v/>
      </c>
      <c r="J90" s="80" t="str">
        <f t="shared" si="24"/>
        <v/>
      </c>
      <c r="K90" s="50" t="str">
        <f t="shared" si="25"/>
        <v/>
      </c>
      <c r="L90" s="81" t="str">
        <f t="shared" si="26"/>
        <v/>
      </c>
      <c r="M90" s="81" t="str">
        <f t="shared" si="32"/>
        <v/>
      </c>
      <c r="N90" s="50"/>
      <c r="O90" s="44"/>
      <c r="P90" s="135">
        <f t="shared" si="27"/>
        <v>0</v>
      </c>
      <c r="Q90" s="135">
        <f t="shared" si="28"/>
        <v>0</v>
      </c>
      <c r="R90" s="135">
        <f t="shared" si="29"/>
        <v>0</v>
      </c>
      <c r="S90" s="135">
        <f t="shared" si="30"/>
        <v>0</v>
      </c>
      <c r="T90" s="135">
        <f t="shared" si="31"/>
        <v>0</v>
      </c>
    </row>
    <row r="91" spans="1:20" customFormat="1" ht="14.4">
      <c r="A91" s="53" t="str">
        <f t="shared" si="33"/>
        <v>1</v>
      </c>
      <c r="B91" s="51" t="s">
        <v>94</v>
      </c>
      <c r="C91" s="51" t="s">
        <v>629</v>
      </c>
      <c r="D91" s="325" t="s">
        <v>630</v>
      </c>
      <c r="E91" s="290" t="s">
        <v>113</v>
      </c>
      <c r="F91" s="50" t="s">
        <v>95</v>
      </c>
      <c r="G91" s="95"/>
      <c r="H91" s="100"/>
      <c r="I91" s="80">
        <f t="shared" si="23"/>
        <v>1</v>
      </c>
      <c r="J91" s="80">
        <f t="shared" si="24"/>
        <v>1</v>
      </c>
      <c r="K91" s="50">
        <f t="shared" si="25"/>
        <v>0</v>
      </c>
      <c r="L91" s="81">
        <f t="shared" si="26"/>
        <v>0</v>
      </c>
      <c r="M91" s="42" t="str">
        <f t="shared" si="32"/>
        <v>offen</v>
      </c>
      <c r="N91" s="50"/>
      <c r="O91" s="44">
        <v>1</v>
      </c>
      <c r="P91" s="135">
        <f t="shared" si="27"/>
        <v>0</v>
      </c>
      <c r="Q91" s="135">
        <f t="shared" si="28"/>
        <v>0</v>
      </c>
      <c r="R91" s="135">
        <f t="shared" si="29"/>
        <v>1</v>
      </c>
      <c r="S91" s="135">
        <f t="shared" si="30"/>
        <v>0</v>
      </c>
      <c r="T91" s="135">
        <f t="shared" si="31"/>
        <v>0</v>
      </c>
    </row>
    <row r="92" spans="1:20" customFormat="1" ht="14.4">
      <c r="A92" s="53" t="str">
        <f t="shared" si="33"/>
        <v>1</v>
      </c>
      <c r="B92" s="51" t="s">
        <v>94</v>
      </c>
      <c r="C92" s="51" t="s">
        <v>631</v>
      </c>
      <c r="D92" s="325" t="s">
        <v>632</v>
      </c>
      <c r="E92" s="290" t="s">
        <v>113</v>
      </c>
      <c r="F92" s="50" t="s">
        <v>95</v>
      </c>
      <c r="G92" s="95"/>
      <c r="H92" s="100"/>
      <c r="I92" s="80">
        <f t="shared" si="23"/>
        <v>1</v>
      </c>
      <c r="J92" s="80">
        <f t="shared" si="24"/>
        <v>1</v>
      </c>
      <c r="K92" s="50">
        <f t="shared" si="25"/>
        <v>0</v>
      </c>
      <c r="L92" s="81">
        <f t="shared" si="26"/>
        <v>0</v>
      </c>
      <c r="M92" s="42" t="str">
        <f t="shared" si="32"/>
        <v>offen</v>
      </c>
      <c r="N92" s="50"/>
      <c r="O92" s="44">
        <v>1</v>
      </c>
      <c r="P92" s="135">
        <f t="shared" si="27"/>
        <v>0</v>
      </c>
      <c r="Q92" s="135">
        <f t="shared" si="28"/>
        <v>0</v>
      </c>
      <c r="R92" s="135">
        <f t="shared" si="29"/>
        <v>1</v>
      </c>
      <c r="S92" s="135">
        <f t="shared" si="30"/>
        <v>0</v>
      </c>
      <c r="T92" s="135">
        <f t="shared" si="31"/>
        <v>0</v>
      </c>
    </row>
    <row r="93" spans="1:20" customFormat="1" ht="14.4">
      <c r="A93" s="53" t="str">
        <f t="shared" si="33"/>
        <v>1</v>
      </c>
      <c r="B93" s="51" t="s">
        <v>94</v>
      </c>
      <c r="C93" s="51" t="s">
        <v>633</v>
      </c>
      <c r="D93" s="325" t="s">
        <v>634</v>
      </c>
      <c r="E93" s="290" t="s">
        <v>113</v>
      </c>
      <c r="F93" s="50" t="s">
        <v>95</v>
      </c>
      <c r="G93" s="95"/>
      <c r="H93" s="100"/>
      <c r="I93" s="80">
        <f t="shared" si="23"/>
        <v>1</v>
      </c>
      <c r="J93" s="80">
        <f t="shared" si="24"/>
        <v>1</v>
      </c>
      <c r="K93" s="50">
        <f t="shared" si="25"/>
        <v>0</v>
      </c>
      <c r="L93" s="81">
        <f t="shared" si="26"/>
        <v>0</v>
      </c>
      <c r="M93" s="42" t="str">
        <f t="shared" si="32"/>
        <v>offen</v>
      </c>
      <c r="N93" s="50"/>
      <c r="O93" s="44">
        <v>1</v>
      </c>
      <c r="P93" s="135">
        <f t="shared" si="27"/>
        <v>0</v>
      </c>
      <c r="Q93" s="135">
        <f t="shared" si="28"/>
        <v>0</v>
      </c>
      <c r="R93" s="135">
        <f t="shared" si="29"/>
        <v>1</v>
      </c>
      <c r="S93" s="135">
        <f t="shared" si="30"/>
        <v>0</v>
      </c>
      <c r="T93" s="135">
        <f t="shared" si="31"/>
        <v>0</v>
      </c>
    </row>
    <row r="94" spans="1:20" customFormat="1" ht="14.4">
      <c r="A94" s="334"/>
      <c r="B94" s="51"/>
      <c r="C94" s="51"/>
      <c r="D94" s="325"/>
      <c r="E94" s="290"/>
      <c r="F94" s="50"/>
      <c r="G94" s="50"/>
      <c r="H94" s="50"/>
      <c r="I94" s="80" t="str">
        <f t="shared" si="23"/>
        <v/>
      </c>
      <c r="J94" s="80" t="str">
        <f t="shared" si="24"/>
        <v/>
      </c>
      <c r="K94" s="50" t="str">
        <f t="shared" si="25"/>
        <v/>
      </c>
      <c r="L94" s="81" t="str">
        <f t="shared" si="26"/>
        <v/>
      </c>
      <c r="M94" s="81" t="str">
        <f t="shared" si="32"/>
        <v/>
      </c>
      <c r="N94" s="50"/>
      <c r="O94" s="44"/>
      <c r="P94" s="135">
        <f t="shared" si="27"/>
        <v>0</v>
      </c>
      <c r="Q94" s="135">
        <f t="shared" si="28"/>
        <v>0</v>
      </c>
      <c r="R94" s="135">
        <f t="shared" si="29"/>
        <v>0</v>
      </c>
      <c r="S94" s="135">
        <f t="shared" si="30"/>
        <v>0</v>
      </c>
      <c r="T94" s="135">
        <f t="shared" si="31"/>
        <v>0</v>
      </c>
    </row>
    <row r="95" spans="1:20" ht="18" customHeight="1">
      <c r="A95" s="53" t="str">
        <f>IF(D95="","","1")</f>
        <v>1</v>
      </c>
      <c r="B95" s="51" t="s">
        <v>153</v>
      </c>
      <c r="C95" s="150" t="s">
        <v>635</v>
      </c>
      <c r="D95" s="55" t="s">
        <v>636</v>
      </c>
      <c r="E95" s="290"/>
      <c r="F95" s="50"/>
      <c r="G95" s="316"/>
      <c r="H95" s="317"/>
      <c r="I95" s="80" t="str">
        <f t="shared" si="23"/>
        <v/>
      </c>
      <c r="J95" s="80" t="str">
        <f t="shared" si="24"/>
        <v/>
      </c>
      <c r="K95" s="50" t="str">
        <f t="shared" si="25"/>
        <v/>
      </c>
      <c r="L95" s="81" t="str">
        <f t="shared" si="26"/>
        <v/>
      </c>
      <c r="M95" s="42" t="str">
        <f t="shared" si="32"/>
        <v/>
      </c>
      <c r="N95" s="50"/>
      <c r="P95" s="135">
        <f t="shared" si="27"/>
        <v>0</v>
      </c>
      <c r="Q95" s="135">
        <f t="shared" si="28"/>
        <v>0</v>
      </c>
      <c r="R95" s="135">
        <f t="shared" si="29"/>
        <v>0</v>
      </c>
      <c r="S95" s="135">
        <f t="shared" si="30"/>
        <v>0</v>
      </c>
      <c r="T95" s="135">
        <f t="shared" si="31"/>
        <v>0</v>
      </c>
    </row>
    <row r="96" spans="1:20" customFormat="1" ht="14.4">
      <c r="A96" s="53" t="str">
        <f>IF(D96="","","1")</f>
        <v>1</v>
      </c>
      <c r="B96" s="51" t="s">
        <v>75</v>
      </c>
      <c r="C96" s="51" t="s">
        <v>637</v>
      </c>
      <c r="D96" s="55" t="s">
        <v>638</v>
      </c>
      <c r="E96" s="290" t="s">
        <v>113</v>
      </c>
      <c r="F96" s="50" t="s">
        <v>95</v>
      </c>
      <c r="G96" s="95"/>
      <c r="H96" s="100"/>
      <c r="I96" s="80" t="str">
        <f t="shared" si="23"/>
        <v>---</v>
      </c>
      <c r="J96" s="80" t="str">
        <f t="shared" si="24"/>
        <v>---</v>
      </c>
      <c r="K96" s="50" t="str">
        <f t="shared" si="25"/>
        <v>---</v>
      </c>
      <c r="L96" s="81" t="str">
        <f t="shared" si="26"/>
        <v>---</v>
      </c>
      <c r="M96" s="42" t="str">
        <f t="shared" si="32"/>
        <v>offen</v>
      </c>
      <c r="N96" s="50"/>
      <c r="O96" s="44"/>
      <c r="P96" s="135">
        <f t="shared" si="27"/>
        <v>1</v>
      </c>
      <c r="Q96" s="135">
        <f t="shared" si="28"/>
        <v>0</v>
      </c>
      <c r="R96" s="135">
        <f t="shared" si="29"/>
        <v>0</v>
      </c>
      <c r="S96" s="135">
        <f t="shared" si="30"/>
        <v>0</v>
      </c>
      <c r="T96" s="135">
        <f t="shared" si="31"/>
        <v>0</v>
      </c>
    </row>
    <row r="97" spans="1:20" customFormat="1" ht="14.4">
      <c r="A97" s="53" t="str">
        <f>IF(D97="","","1")</f>
        <v>1</v>
      </c>
      <c r="B97" s="51" t="s">
        <v>94</v>
      </c>
      <c r="C97" s="51" t="s">
        <v>639</v>
      </c>
      <c r="D97" s="55" t="s">
        <v>640</v>
      </c>
      <c r="E97" s="290" t="s">
        <v>113</v>
      </c>
      <c r="F97" s="50" t="s">
        <v>95</v>
      </c>
      <c r="G97" s="95"/>
      <c r="H97" s="100"/>
      <c r="I97" s="80">
        <f t="shared" si="23"/>
        <v>1</v>
      </c>
      <c r="J97" s="80">
        <f t="shared" si="24"/>
        <v>5</v>
      </c>
      <c r="K97" s="50">
        <f t="shared" si="25"/>
        <v>0</v>
      </c>
      <c r="L97" s="81">
        <f t="shared" si="26"/>
        <v>0</v>
      </c>
      <c r="M97" s="42" t="str">
        <f t="shared" si="32"/>
        <v>offen</v>
      </c>
      <c r="N97" s="50"/>
      <c r="O97" s="44">
        <v>5</v>
      </c>
      <c r="P97" s="135">
        <f t="shared" si="27"/>
        <v>0</v>
      </c>
      <c r="Q97" s="135">
        <f t="shared" si="28"/>
        <v>0</v>
      </c>
      <c r="R97" s="135">
        <f t="shared" si="29"/>
        <v>1</v>
      </c>
      <c r="S97" s="135">
        <f t="shared" si="30"/>
        <v>0</v>
      </c>
      <c r="T97" s="135">
        <f t="shared" si="31"/>
        <v>0</v>
      </c>
    </row>
    <row r="98" spans="1:20" customFormat="1" ht="26.4">
      <c r="A98" s="53" t="str">
        <f>IF(D98="","","1")</f>
        <v>1</v>
      </c>
      <c r="B98" s="51" t="s">
        <v>94</v>
      </c>
      <c r="C98" s="51" t="s">
        <v>641</v>
      </c>
      <c r="D98" s="55" t="s">
        <v>642</v>
      </c>
      <c r="E98" s="290" t="s">
        <v>113</v>
      </c>
      <c r="F98" s="50" t="s">
        <v>95</v>
      </c>
      <c r="G98" s="95"/>
      <c r="H98" s="100"/>
      <c r="I98" s="80">
        <f t="shared" si="23"/>
        <v>1</v>
      </c>
      <c r="J98" s="80">
        <f t="shared" si="24"/>
        <v>5</v>
      </c>
      <c r="K98" s="50">
        <f t="shared" si="25"/>
        <v>0</v>
      </c>
      <c r="L98" s="81">
        <f t="shared" si="26"/>
        <v>0</v>
      </c>
      <c r="M98" s="42" t="str">
        <f t="shared" si="32"/>
        <v>offen</v>
      </c>
      <c r="N98" s="50"/>
      <c r="O98" s="44">
        <v>5</v>
      </c>
      <c r="P98" s="135">
        <f t="shared" si="27"/>
        <v>0</v>
      </c>
      <c r="Q98" s="135">
        <f t="shared" si="28"/>
        <v>0</v>
      </c>
      <c r="R98" s="135">
        <f t="shared" si="29"/>
        <v>1</v>
      </c>
      <c r="S98" s="135">
        <f t="shared" si="30"/>
        <v>0</v>
      </c>
      <c r="T98" s="135">
        <f t="shared" si="31"/>
        <v>0</v>
      </c>
    </row>
    <row r="99" spans="1:20" customFormat="1" ht="14.4">
      <c r="A99" s="334"/>
      <c r="B99" s="51"/>
      <c r="C99" s="51"/>
      <c r="D99" s="55"/>
      <c r="E99" s="290"/>
      <c r="F99" s="50"/>
      <c r="G99" s="50"/>
      <c r="H99" s="50"/>
      <c r="I99" s="80" t="str">
        <f t="shared" si="23"/>
        <v/>
      </c>
      <c r="J99" s="80" t="str">
        <f t="shared" si="24"/>
        <v/>
      </c>
      <c r="K99" s="50" t="str">
        <f t="shared" si="25"/>
        <v/>
      </c>
      <c r="L99" s="81" t="str">
        <f t="shared" si="26"/>
        <v/>
      </c>
      <c r="M99" s="81" t="str">
        <f t="shared" si="32"/>
        <v/>
      </c>
      <c r="N99" s="50"/>
      <c r="O99" s="44"/>
      <c r="P99" s="135">
        <f t="shared" si="27"/>
        <v>0</v>
      </c>
      <c r="Q99" s="135">
        <f t="shared" si="28"/>
        <v>0</v>
      </c>
      <c r="R99" s="135">
        <f t="shared" si="29"/>
        <v>0</v>
      </c>
      <c r="S99" s="135">
        <f t="shared" si="30"/>
        <v>0</v>
      </c>
      <c r="T99" s="135">
        <f t="shared" si="31"/>
        <v>0</v>
      </c>
    </row>
    <row r="100" spans="1:20" ht="14.4">
      <c r="A100" s="53" t="str">
        <f>IF(D100="","","1")</f>
        <v>1</v>
      </c>
      <c r="B100" s="51" t="s">
        <v>153</v>
      </c>
      <c r="C100" s="150" t="s">
        <v>643</v>
      </c>
      <c r="D100" s="55" t="s">
        <v>644</v>
      </c>
      <c r="E100" s="290"/>
      <c r="F100" s="50"/>
      <c r="G100" s="316"/>
      <c r="H100" s="317"/>
      <c r="I100" s="80" t="str">
        <f t="shared" si="23"/>
        <v/>
      </c>
      <c r="J100" s="80" t="str">
        <f t="shared" si="24"/>
        <v/>
      </c>
      <c r="K100" s="50" t="str">
        <f t="shared" si="25"/>
        <v/>
      </c>
      <c r="L100" s="81" t="str">
        <f t="shared" si="26"/>
        <v/>
      </c>
      <c r="M100" s="42" t="str">
        <f t="shared" si="32"/>
        <v/>
      </c>
      <c r="N100" s="50"/>
      <c r="P100" s="135">
        <f t="shared" si="27"/>
        <v>0</v>
      </c>
      <c r="Q100" s="135">
        <f t="shared" si="28"/>
        <v>0</v>
      </c>
      <c r="R100" s="135">
        <f t="shared" si="29"/>
        <v>0</v>
      </c>
      <c r="S100" s="135">
        <f t="shared" si="30"/>
        <v>0</v>
      </c>
      <c r="T100" s="135">
        <f t="shared" si="31"/>
        <v>0</v>
      </c>
    </row>
    <row r="101" spans="1:20" customFormat="1" ht="14.4">
      <c r="A101" s="53" t="str">
        <f>IF(D101="","","1")</f>
        <v>1</v>
      </c>
      <c r="B101" s="51" t="s">
        <v>75</v>
      </c>
      <c r="C101" s="51" t="s">
        <v>645</v>
      </c>
      <c r="D101" s="148" t="s">
        <v>646</v>
      </c>
      <c r="E101" s="290" t="s">
        <v>113</v>
      </c>
      <c r="F101" s="50" t="s">
        <v>95</v>
      </c>
      <c r="G101" s="95"/>
      <c r="H101" s="100"/>
      <c r="I101" s="80" t="str">
        <f t="shared" si="23"/>
        <v>---</v>
      </c>
      <c r="J101" s="80" t="str">
        <f t="shared" si="24"/>
        <v>---</v>
      </c>
      <c r="K101" s="50" t="str">
        <f t="shared" si="25"/>
        <v>---</v>
      </c>
      <c r="L101" s="81" t="str">
        <f t="shared" si="26"/>
        <v>---</v>
      </c>
      <c r="M101" s="42" t="str">
        <f t="shared" si="32"/>
        <v>offen</v>
      </c>
      <c r="N101" s="50"/>
      <c r="O101" s="44"/>
      <c r="P101" s="135">
        <f t="shared" si="27"/>
        <v>1</v>
      </c>
      <c r="Q101" s="135">
        <f t="shared" si="28"/>
        <v>0</v>
      </c>
      <c r="R101" s="135">
        <f t="shared" si="29"/>
        <v>0</v>
      </c>
      <c r="S101" s="135">
        <f t="shared" si="30"/>
        <v>0</v>
      </c>
      <c r="T101" s="135">
        <f t="shared" si="31"/>
        <v>0</v>
      </c>
    </row>
    <row r="102" spans="1:20" customFormat="1" ht="14.4">
      <c r="A102" s="334"/>
      <c r="B102" s="51"/>
      <c r="C102" s="51"/>
      <c r="D102" s="148"/>
      <c r="E102" s="290"/>
      <c r="F102" s="50"/>
      <c r="G102" s="50"/>
      <c r="H102" s="50"/>
      <c r="I102" s="80" t="str">
        <f t="shared" ref="I102:I118" si="34">IF(B102="","",IF(B102="B-Kriterium",1,"---"))</f>
        <v/>
      </c>
      <c r="J102" s="80" t="str">
        <f t="shared" ref="J102:J118" si="35">IF(B102="","",IF(B102="A-Kriterium","---",O102))</f>
        <v/>
      </c>
      <c r="K102" s="50" t="str">
        <f t="shared" ref="K102:K118" si="36">IF($B102="A-Kriterium","---",IF(B102="","",IF(AND(B102="B-Kriterium",G102="ja"),J102,0)))</f>
        <v/>
      </c>
      <c r="L102" s="81" t="str">
        <f t="shared" ref="L102:L118" si="37">IF(B102="A-Kriterium","---",IF(B102="","",I102*K102))</f>
        <v/>
      </c>
      <c r="M102" s="81" t="str">
        <f t="shared" si="32"/>
        <v/>
      </c>
      <c r="N102" s="50"/>
      <c r="O102" s="44"/>
      <c r="P102" s="135">
        <f t="shared" ref="P102:P133" si="38">IF(AND($F102="Bieter/in",$B102="A-Kriterium",$M102=P$9),1,0)</f>
        <v>0</v>
      </c>
      <c r="Q102" s="135">
        <f t="shared" ref="Q102:Q133" si="39">IF(AND($F102="Auftragsgeber/in",$B102="A-Kriterium",$M102=Q$9),1,0)</f>
        <v>0</v>
      </c>
      <c r="R102" s="135">
        <f t="shared" ref="R102:R133" si="40">IF(AND($F102="Bieter/in",$B102="B-Kriterium",$M102=R$9),1,0)</f>
        <v>0</v>
      </c>
      <c r="S102" s="135">
        <f t="shared" ref="S102:S133" si="41">IF(AND($F102="Auftragsgeber/in",$B102="B-Kriterium",$M102=S$9),1,0)</f>
        <v>0</v>
      </c>
      <c r="T102" s="135">
        <f t="shared" ref="T102:T119" si="42">IF(M102="nok",1,0)</f>
        <v>0</v>
      </c>
    </row>
    <row r="103" spans="1:20" ht="14.4">
      <c r="A103" s="53" t="str">
        <f>IF(D103="","","1")</f>
        <v>1</v>
      </c>
      <c r="B103" s="51" t="s">
        <v>153</v>
      </c>
      <c r="C103" s="150" t="s">
        <v>647</v>
      </c>
      <c r="D103" s="55" t="s">
        <v>648</v>
      </c>
      <c r="E103" s="290"/>
      <c r="F103" s="50"/>
      <c r="G103" s="316"/>
      <c r="H103" s="317"/>
      <c r="I103" s="80" t="str">
        <f t="shared" si="34"/>
        <v/>
      </c>
      <c r="J103" s="80" t="str">
        <f t="shared" si="35"/>
        <v/>
      </c>
      <c r="K103" s="50" t="str">
        <f t="shared" si="36"/>
        <v/>
      </c>
      <c r="L103" s="81" t="str">
        <f t="shared" si="37"/>
        <v/>
      </c>
      <c r="M103" s="42" t="str">
        <f t="shared" ref="M103:M119" si="43">IF(AND(ISBLANK(G103)=FALSE,B103="B-Kriterium"),"ok",IF($B103="","",IF(AND(B103="A-Kriterium",G103="ja"),"ok",IF(AND(B103="A-Kriterium",G103="nein"),"nok","offen"))))</f>
        <v/>
      </c>
      <c r="N103" s="50"/>
      <c r="P103" s="135">
        <f t="shared" si="38"/>
        <v>0</v>
      </c>
      <c r="Q103" s="135">
        <f t="shared" si="39"/>
        <v>0</v>
      </c>
      <c r="R103" s="135">
        <f t="shared" si="40"/>
        <v>0</v>
      </c>
      <c r="S103" s="135">
        <f t="shared" si="41"/>
        <v>0</v>
      </c>
      <c r="T103" s="135">
        <f t="shared" si="42"/>
        <v>0</v>
      </c>
    </row>
    <row r="104" spans="1:20" customFormat="1" ht="14.4">
      <c r="A104" s="53" t="str">
        <f>IF(D104="","","1")</f>
        <v>1</v>
      </c>
      <c r="B104" s="51" t="s">
        <v>94</v>
      </c>
      <c r="C104" s="51" t="s">
        <v>649</v>
      </c>
      <c r="D104" s="55" t="s">
        <v>650</v>
      </c>
      <c r="E104" s="290" t="s">
        <v>113</v>
      </c>
      <c r="F104" s="50" t="s">
        <v>95</v>
      </c>
      <c r="G104" s="95"/>
      <c r="H104" s="100"/>
      <c r="I104" s="80">
        <f t="shared" si="34"/>
        <v>1</v>
      </c>
      <c r="J104" s="80">
        <f t="shared" si="35"/>
        <v>5</v>
      </c>
      <c r="K104" s="50">
        <f t="shared" si="36"/>
        <v>0</v>
      </c>
      <c r="L104" s="81">
        <f t="shared" si="37"/>
        <v>0</v>
      </c>
      <c r="M104" s="42" t="str">
        <f t="shared" si="43"/>
        <v>offen</v>
      </c>
      <c r="N104" s="50"/>
      <c r="O104" s="44">
        <v>5</v>
      </c>
      <c r="P104" s="135">
        <f t="shared" si="38"/>
        <v>0</v>
      </c>
      <c r="Q104" s="135">
        <f t="shared" si="39"/>
        <v>0</v>
      </c>
      <c r="R104" s="135">
        <f t="shared" si="40"/>
        <v>1</v>
      </c>
      <c r="S104" s="135">
        <f t="shared" si="41"/>
        <v>0</v>
      </c>
      <c r="T104" s="135">
        <f t="shared" si="42"/>
        <v>0</v>
      </c>
    </row>
    <row r="105" spans="1:20" customFormat="1" ht="14.4">
      <c r="A105" s="334"/>
      <c r="B105" s="51"/>
      <c r="C105" s="51"/>
      <c r="D105" s="55"/>
      <c r="E105" s="290"/>
      <c r="F105" s="50"/>
      <c r="G105" s="50"/>
      <c r="H105" s="50"/>
      <c r="I105" s="80" t="str">
        <f t="shared" si="34"/>
        <v/>
      </c>
      <c r="J105" s="80" t="str">
        <f t="shared" si="35"/>
        <v/>
      </c>
      <c r="K105" s="50" t="str">
        <f t="shared" si="36"/>
        <v/>
      </c>
      <c r="L105" s="81" t="str">
        <f t="shared" si="37"/>
        <v/>
      </c>
      <c r="M105" s="81" t="str">
        <f t="shared" si="43"/>
        <v/>
      </c>
      <c r="N105" s="50"/>
      <c r="O105" s="44"/>
      <c r="P105" s="135">
        <f t="shared" si="38"/>
        <v>0</v>
      </c>
      <c r="Q105" s="135">
        <f t="shared" si="39"/>
        <v>0</v>
      </c>
      <c r="R105" s="135">
        <f t="shared" si="40"/>
        <v>0</v>
      </c>
      <c r="S105" s="135">
        <f t="shared" si="41"/>
        <v>0</v>
      </c>
      <c r="T105" s="135">
        <f t="shared" si="42"/>
        <v>0</v>
      </c>
    </row>
    <row r="106" spans="1:20" ht="14.4">
      <c r="A106" s="53" t="str">
        <f>IF(D106="","","1")</f>
        <v>1</v>
      </c>
      <c r="B106" s="51" t="s">
        <v>153</v>
      </c>
      <c r="C106" s="150" t="s">
        <v>651</v>
      </c>
      <c r="D106" s="55" t="s">
        <v>652</v>
      </c>
      <c r="E106" s="290"/>
      <c r="F106" s="50"/>
      <c r="G106" s="316"/>
      <c r="H106" s="317"/>
      <c r="I106" s="80" t="str">
        <f t="shared" si="34"/>
        <v/>
      </c>
      <c r="J106" s="80" t="str">
        <f t="shared" si="35"/>
        <v/>
      </c>
      <c r="K106" s="50" t="str">
        <f t="shared" si="36"/>
        <v/>
      </c>
      <c r="L106" s="81" t="str">
        <f t="shared" si="37"/>
        <v/>
      </c>
      <c r="M106" s="42" t="str">
        <f t="shared" si="43"/>
        <v/>
      </c>
      <c r="N106" s="50"/>
      <c r="P106" s="135">
        <f t="shared" si="38"/>
        <v>0</v>
      </c>
      <c r="Q106" s="135">
        <f t="shared" si="39"/>
        <v>0</v>
      </c>
      <c r="R106" s="135">
        <f t="shared" si="40"/>
        <v>0</v>
      </c>
      <c r="S106" s="135">
        <f t="shared" si="41"/>
        <v>0</v>
      </c>
      <c r="T106" s="135">
        <f t="shared" si="42"/>
        <v>0</v>
      </c>
    </row>
    <row r="107" spans="1:20" customFormat="1" ht="14.4">
      <c r="A107" s="53" t="str">
        <f>IF(D107="","","1")</f>
        <v>1</v>
      </c>
      <c r="B107" s="51" t="s">
        <v>94</v>
      </c>
      <c r="C107" s="51" t="s">
        <v>653</v>
      </c>
      <c r="D107" s="310" t="s">
        <v>654</v>
      </c>
      <c r="E107" s="290" t="s">
        <v>113</v>
      </c>
      <c r="F107" s="50" t="s">
        <v>95</v>
      </c>
      <c r="G107" s="95"/>
      <c r="H107" s="100"/>
      <c r="I107" s="80">
        <f t="shared" si="34"/>
        <v>1</v>
      </c>
      <c r="J107" s="80">
        <f t="shared" si="35"/>
        <v>5</v>
      </c>
      <c r="K107" s="50">
        <f t="shared" si="36"/>
        <v>0</v>
      </c>
      <c r="L107" s="81">
        <f t="shared" si="37"/>
        <v>0</v>
      </c>
      <c r="M107" s="42" t="str">
        <f t="shared" si="43"/>
        <v>offen</v>
      </c>
      <c r="N107" s="50"/>
      <c r="O107" s="44">
        <v>5</v>
      </c>
      <c r="P107" s="135">
        <f t="shared" si="38"/>
        <v>0</v>
      </c>
      <c r="Q107" s="135">
        <f t="shared" si="39"/>
        <v>0</v>
      </c>
      <c r="R107" s="135">
        <f t="shared" si="40"/>
        <v>1</v>
      </c>
      <c r="S107" s="135">
        <f t="shared" si="41"/>
        <v>0</v>
      </c>
      <c r="T107" s="135">
        <f t="shared" si="42"/>
        <v>0</v>
      </c>
    </row>
    <row r="108" spans="1:20" customFormat="1" ht="14.4">
      <c r="A108" s="53" t="str">
        <f>IF(D108="","","1")</f>
        <v>1</v>
      </c>
      <c r="B108" s="51" t="s">
        <v>94</v>
      </c>
      <c r="C108" s="51" t="s">
        <v>655</v>
      </c>
      <c r="D108" s="55" t="s">
        <v>656</v>
      </c>
      <c r="E108" s="290" t="s">
        <v>113</v>
      </c>
      <c r="F108" s="50" t="s">
        <v>95</v>
      </c>
      <c r="G108" s="95"/>
      <c r="H108" s="100"/>
      <c r="I108" s="80">
        <f t="shared" si="34"/>
        <v>1</v>
      </c>
      <c r="J108" s="80">
        <f t="shared" si="35"/>
        <v>5</v>
      </c>
      <c r="K108" s="50">
        <f t="shared" si="36"/>
        <v>0</v>
      </c>
      <c r="L108" s="81">
        <f t="shared" si="37"/>
        <v>0</v>
      </c>
      <c r="M108" s="42" t="str">
        <f t="shared" si="43"/>
        <v>offen</v>
      </c>
      <c r="N108" s="50"/>
      <c r="O108" s="44">
        <v>5</v>
      </c>
      <c r="P108" s="135">
        <f t="shared" si="38"/>
        <v>0</v>
      </c>
      <c r="Q108" s="135">
        <f t="shared" si="39"/>
        <v>0</v>
      </c>
      <c r="R108" s="135">
        <f t="shared" si="40"/>
        <v>1</v>
      </c>
      <c r="S108" s="135">
        <f t="shared" si="41"/>
        <v>0</v>
      </c>
      <c r="T108" s="135">
        <f t="shared" si="42"/>
        <v>0</v>
      </c>
    </row>
    <row r="109" spans="1:20" customFormat="1" ht="14.4">
      <c r="A109" s="334"/>
      <c r="B109" s="51"/>
      <c r="C109" s="51"/>
      <c r="D109" s="55"/>
      <c r="E109" s="290"/>
      <c r="F109" s="50"/>
      <c r="G109" s="50"/>
      <c r="H109" s="50"/>
      <c r="I109" s="80" t="str">
        <f t="shared" si="34"/>
        <v/>
      </c>
      <c r="J109" s="80" t="str">
        <f t="shared" si="35"/>
        <v/>
      </c>
      <c r="K109" s="50" t="str">
        <f t="shared" si="36"/>
        <v/>
      </c>
      <c r="L109" s="81" t="str">
        <f t="shared" si="37"/>
        <v/>
      </c>
      <c r="M109" s="81" t="str">
        <f t="shared" si="43"/>
        <v/>
      </c>
      <c r="N109" s="50"/>
      <c r="O109" s="44"/>
      <c r="P109" s="135">
        <f t="shared" si="38"/>
        <v>0</v>
      </c>
      <c r="Q109" s="135">
        <f t="shared" si="39"/>
        <v>0</v>
      </c>
      <c r="R109" s="135">
        <f t="shared" si="40"/>
        <v>0</v>
      </c>
      <c r="S109" s="135">
        <f t="shared" si="41"/>
        <v>0</v>
      </c>
      <c r="T109" s="135">
        <f t="shared" si="42"/>
        <v>0</v>
      </c>
    </row>
    <row r="110" spans="1:20" ht="14.4">
      <c r="A110" s="53" t="str">
        <f t="shared" ref="A110:A145" si="44">IF(D110="","","1")</f>
        <v>1</v>
      </c>
      <c r="B110" s="347" t="s">
        <v>153</v>
      </c>
      <c r="C110" s="150" t="s">
        <v>657</v>
      </c>
      <c r="D110" s="346" t="s">
        <v>658</v>
      </c>
      <c r="E110" s="290"/>
      <c r="F110" s="50"/>
      <c r="G110" s="316"/>
      <c r="H110" s="317"/>
      <c r="I110" s="80" t="str">
        <f t="shared" si="34"/>
        <v/>
      </c>
      <c r="J110" s="80" t="str">
        <f t="shared" si="35"/>
        <v/>
      </c>
      <c r="K110" s="50" t="str">
        <f t="shared" si="36"/>
        <v/>
      </c>
      <c r="L110" s="81" t="str">
        <f t="shared" si="37"/>
        <v/>
      </c>
      <c r="M110" s="42" t="str">
        <f t="shared" si="43"/>
        <v/>
      </c>
      <c r="N110" s="50"/>
      <c r="P110" s="135">
        <f t="shared" si="38"/>
        <v>0</v>
      </c>
      <c r="Q110" s="135">
        <f t="shared" si="39"/>
        <v>0</v>
      </c>
      <c r="R110" s="135">
        <f t="shared" si="40"/>
        <v>0</v>
      </c>
      <c r="S110" s="135">
        <f t="shared" si="41"/>
        <v>0</v>
      </c>
      <c r="T110" s="135">
        <f t="shared" si="42"/>
        <v>0</v>
      </c>
    </row>
    <row r="111" spans="1:20" customFormat="1" ht="26.4">
      <c r="A111" s="53" t="str">
        <f t="shared" si="44"/>
        <v>1</v>
      </c>
      <c r="B111" s="51" t="s">
        <v>94</v>
      </c>
      <c r="C111" s="51" t="s">
        <v>659</v>
      </c>
      <c r="D111" s="55" t="s">
        <v>660</v>
      </c>
      <c r="E111" s="290" t="s">
        <v>113</v>
      </c>
      <c r="F111" s="50" t="s">
        <v>95</v>
      </c>
      <c r="G111" s="95"/>
      <c r="H111" s="100"/>
      <c r="I111" s="80">
        <f t="shared" si="34"/>
        <v>1</v>
      </c>
      <c r="J111" s="80">
        <f t="shared" si="35"/>
        <v>1</v>
      </c>
      <c r="K111" s="50">
        <f t="shared" si="36"/>
        <v>0</v>
      </c>
      <c r="L111" s="81">
        <f t="shared" si="37"/>
        <v>0</v>
      </c>
      <c r="M111" s="42" t="str">
        <f t="shared" si="43"/>
        <v>offen</v>
      </c>
      <c r="N111" s="50"/>
      <c r="O111" s="44">
        <v>1</v>
      </c>
      <c r="P111" s="135">
        <f t="shared" si="38"/>
        <v>0</v>
      </c>
      <c r="Q111" s="135">
        <f t="shared" si="39"/>
        <v>0</v>
      </c>
      <c r="R111" s="135">
        <f t="shared" si="40"/>
        <v>1</v>
      </c>
      <c r="S111" s="135">
        <f t="shared" si="41"/>
        <v>0</v>
      </c>
      <c r="T111" s="135">
        <f t="shared" si="42"/>
        <v>0</v>
      </c>
    </row>
    <row r="112" spans="1:20" customFormat="1" ht="39.6">
      <c r="A112" s="53" t="str">
        <f t="shared" si="44"/>
        <v>1</v>
      </c>
      <c r="B112" s="51" t="s">
        <v>94</v>
      </c>
      <c r="C112" s="51" t="s">
        <v>661</v>
      </c>
      <c r="D112" s="55" t="s">
        <v>662</v>
      </c>
      <c r="E112" s="290" t="s">
        <v>113</v>
      </c>
      <c r="F112" s="50" t="s">
        <v>95</v>
      </c>
      <c r="G112" s="95"/>
      <c r="H112" s="100"/>
      <c r="I112" s="80">
        <f t="shared" si="34"/>
        <v>1</v>
      </c>
      <c r="J112" s="80">
        <f t="shared" si="35"/>
        <v>1</v>
      </c>
      <c r="K112" s="50">
        <f t="shared" si="36"/>
        <v>0</v>
      </c>
      <c r="L112" s="81">
        <f t="shared" si="37"/>
        <v>0</v>
      </c>
      <c r="M112" s="42" t="str">
        <f t="shared" si="43"/>
        <v>offen</v>
      </c>
      <c r="N112" s="50"/>
      <c r="O112" s="44">
        <v>1</v>
      </c>
      <c r="P112" s="135">
        <f t="shared" si="38"/>
        <v>0</v>
      </c>
      <c r="Q112" s="135">
        <f t="shared" si="39"/>
        <v>0</v>
      </c>
      <c r="R112" s="135">
        <f t="shared" si="40"/>
        <v>1</v>
      </c>
      <c r="S112" s="135">
        <f t="shared" si="41"/>
        <v>0</v>
      </c>
      <c r="T112" s="135">
        <f t="shared" si="42"/>
        <v>0</v>
      </c>
    </row>
    <row r="113" spans="1:20" customFormat="1" ht="26.4">
      <c r="A113" s="53" t="str">
        <f t="shared" si="44"/>
        <v>1</v>
      </c>
      <c r="B113" s="51" t="s">
        <v>94</v>
      </c>
      <c r="C113" s="51" t="s">
        <v>663</v>
      </c>
      <c r="D113" s="148" t="s">
        <v>664</v>
      </c>
      <c r="E113" s="290" t="s">
        <v>113</v>
      </c>
      <c r="F113" s="50" t="s">
        <v>95</v>
      </c>
      <c r="G113" s="95"/>
      <c r="H113" s="100"/>
      <c r="I113" s="80">
        <f t="shared" si="34"/>
        <v>1</v>
      </c>
      <c r="J113" s="80">
        <f t="shared" si="35"/>
        <v>5</v>
      </c>
      <c r="K113" s="50">
        <f t="shared" si="36"/>
        <v>0</v>
      </c>
      <c r="L113" s="81">
        <f t="shared" si="37"/>
        <v>0</v>
      </c>
      <c r="M113" s="42" t="str">
        <f t="shared" si="43"/>
        <v>offen</v>
      </c>
      <c r="N113" s="50"/>
      <c r="O113" s="44">
        <v>5</v>
      </c>
      <c r="P113" s="135">
        <f t="shared" si="38"/>
        <v>0</v>
      </c>
      <c r="Q113" s="135">
        <f t="shared" si="39"/>
        <v>0</v>
      </c>
      <c r="R113" s="135">
        <f t="shared" si="40"/>
        <v>1</v>
      </c>
      <c r="S113" s="135">
        <f t="shared" si="41"/>
        <v>0</v>
      </c>
      <c r="T113" s="135">
        <f t="shared" si="42"/>
        <v>0</v>
      </c>
    </row>
    <row r="114" spans="1:20" customFormat="1" ht="26.4">
      <c r="A114" s="53" t="str">
        <f t="shared" si="44"/>
        <v>1</v>
      </c>
      <c r="B114" s="51" t="s">
        <v>75</v>
      </c>
      <c r="C114" s="51" t="s">
        <v>665</v>
      </c>
      <c r="D114" s="148" t="s">
        <v>666</v>
      </c>
      <c r="E114" s="290" t="s">
        <v>113</v>
      </c>
      <c r="F114" s="50" t="s">
        <v>95</v>
      </c>
      <c r="G114" s="95"/>
      <c r="H114" s="100"/>
      <c r="I114" s="80" t="str">
        <f t="shared" si="34"/>
        <v>---</v>
      </c>
      <c r="J114" s="80" t="str">
        <f t="shared" si="35"/>
        <v>---</v>
      </c>
      <c r="K114" s="50" t="str">
        <f t="shared" si="36"/>
        <v>---</v>
      </c>
      <c r="L114" s="81" t="str">
        <f t="shared" si="37"/>
        <v>---</v>
      </c>
      <c r="M114" s="42" t="str">
        <f t="shared" si="43"/>
        <v>offen</v>
      </c>
      <c r="N114" s="50"/>
      <c r="O114" s="44"/>
      <c r="P114" s="135">
        <f t="shared" si="38"/>
        <v>1</v>
      </c>
      <c r="Q114" s="135">
        <f t="shared" si="39"/>
        <v>0</v>
      </c>
      <c r="R114" s="135">
        <f t="shared" si="40"/>
        <v>0</v>
      </c>
      <c r="S114" s="135">
        <f t="shared" si="41"/>
        <v>0</v>
      </c>
      <c r="T114" s="135">
        <f t="shared" si="42"/>
        <v>0</v>
      </c>
    </row>
    <row r="115" spans="1:20" customFormat="1" ht="26.4">
      <c r="A115" s="53" t="str">
        <f t="shared" si="44"/>
        <v>1</v>
      </c>
      <c r="B115" s="51" t="s">
        <v>94</v>
      </c>
      <c r="C115" s="51" t="s">
        <v>667</v>
      </c>
      <c r="D115" s="148" t="s">
        <v>668</v>
      </c>
      <c r="E115" s="290" t="s">
        <v>113</v>
      </c>
      <c r="F115" s="50" t="s">
        <v>95</v>
      </c>
      <c r="G115" s="95"/>
      <c r="H115" s="100"/>
      <c r="I115" s="80">
        <f t="shared" si="34"/>
        <v>1</v>
      </c>
      <c r="J115" s="80">
        <f t="shared" si="35"/>
        <v>5</v>
      </c>
      <c r="K115" s="50">
        <f t="shared" si="36"/>
        <v>0</v>
      </c>
      <c r="L115" s="81">
        <f t="shared" si="37"/>
        <v>0</v>
      </c>
      <c r="M115" s="42" t="str">
        <f t="shared" si="43"/>
        <v>offen</v>
      </c>
      <c r="N115" s="50"/>
      <c r="O115" s="44">
        <v>5</v>
      </c>
      <c r="P115" s="135">
        <f t="shared" si="38"/>
        <v>0</v>
      </c>
      <c r="Q115" s="135">
        <f t="shared" si="39"/>
        <v>0</v>
      </c>
      <c r="R115" s="135">
        <f t="shared" si="40"/>
        <v>1</v>
      </c>
      <c r="S115" s="135">
        <f t="shared" si="41"/>
        <v>0</v>
      </c>
      <c r="T115" s="135">
        <f t="shared" si="42"/>
        <v>0</v>
      </c>
    </row>
    <row r="116" spans="1:20" customFormat="1" ht="28.2" customHeight="1">
      <c r="A116" s="53" t="str">
        <f t="shared" si="44"/>
        <v>1</v>
      </c>
      <c r="B116" s="51" t="s">
        <v>94</v>
      </c>
      <c r="C116" s="51" t="s">
        <v>669</v>
      </c>
      <c r="D116" s="148" t="s">
        <v>670</v>
      </c>
      <c r="E116" s="290" t="s">
        <v>113</v>
      </c>
      <c r="F116" s="50" t="s">
        <v>95</v>
      </c>
      <c r="G116" s="95"/>
      <c r="H116" s="100"/>
      <c r="I116" s="80">
        <f t="shared" si="34"/>
        <v>1</v>
      </c>
      <c r="J116" s="80">
        <f t="shared" si="35"/>
        <v>1</v>
      </c>
      <c r="K116" s="50">
        <f t="shared" si="36"/>
        <v>0</v>
      </c>
      <c r="L116" s="81">
        <f t="shared" si="37"/>
        <v>0</v>
      </c>
      <c r="M116" s="42" t="str">
        <f t="shared" si="43"/>
        <v>offen</v>
      </c>
      <c r="N116" s="50"/>
      <c r="O116" s="44">
        <v>1</v>
      </c>
      <c r="P116" s="135">
        <f t="shared" si="38"/>
        <v>0</v>
      </c>
      <c r="Q116" s="135">
        <f t="shared" si="39"/>
        <v>0</v>
      </c>
      <c r="R116" s="135">
        <f t="shared" si="40"/>
        <v>1</v>
      </c>
      <c r="S116" s="135">
        <f t="shared" si="41"/>
        <v>0</v>
      </c>
      <c r="T116" s="135">
        <f t="shared" si="42"/>
        <v>0</v>
      </c>
    </row>
    <row r="117" spans="1:20" customFormat="1" ht="14.4">
      <c r="A117" s="334" t="str">
        <f t="shared" si="44"/>
        <v/>
      </c>
      <c r="B117" s="51"/>
      <c r="C117" s="51"/>
      <c r="D117" s="148"/>
      <c r="E117" s="290"/>
      <c r="F117" s="50"/>
      <c r="G117" s="50"/>
      <c r="H117" s="50"/>
      <c r="I117" s="80" t="str">
        <f t="shared" si="34"/>
        <v/>
      </c>
      <c r="J117" s="80" t="str">
        <f t="shared" si="35"/>
        <v/>
      </c>
      <c r="K117" s="50" t="str">
        <f t="shared" si="36"/>
        <v/>
      </c>
      <c r="L117" s="81" t="str">
        <f t="shared" si="37"/>
        <v/>
      </c>
      <c r="M117" s="81" t="str">
        <f t="shared" si="43"/>
        <v/>
      </c>
      <c r="N117" s="50"/>
      <c r="O117" s="44"/>
      <c r="P117" s="135">
        <f t="shared" si="38"/>
        <v>0</v>
      </c>
      <c r="Q117" s="135">
        <f t="shared" si="39"/>
        <v>0</v>
      </c>
      <c r="R117" s="135">
        <f t="shared" si="40"/>
        <v>0</v>
      </c>
      <c r="S117" s="135">
        <f t="shared" si="41"/>
        <v>0</v>
      </c>
      <c r="T117" s="135">
        <f t="shared" si="42"/>
        <v>0</v>
      </c>
    </row>
    <row r="118" spans="1:20" ht="14.4">
      <c r="A118" s="53" t="str">
        <f t="shared" si="44"/>
        <v>1</v>
      </c>
      <c r="B118" s="51" t="s">
        <v>153</v>
      </c>
      <c r="C118" s="150" t="s">
        <v>671</v>
      </c>
      <c r="D118" s="55" t="s">
        <v>672</v>
      </c>
      <c r="E118" s="290"/>
      <c r="F118" s="50"/>
      <c r="G118" s="316"/>
      <c r="H118" s="317"/>
      <c r="I118" s="80" t="str">
        <f t="shared" si="34"/>
        <v/>
      </c>
      <c r="J118" s="80" t="str">
        <f t="shared" si="35"/>
        <v/>
      </c>
      <c r="K118" s="50" t="str">
        <f t="shared" si="36"/>
        <v/>
      </c>
      <c r="L118" s="81" t="str">
        <f t="shared" si="37"/>
        <v/>
      </c>
      <c r="M118" s="42" t="str">
        <f t="shared" si="43"/>
        <v/>
      </c>
      <c r="N118" s="50"/>
      <c r="O118" s="51"/>
      <c r="P118" s="135">
        <f t="shared" si="38"/>
        <v>0</v>
      </c>
      <c r="Q118" s="135">
        <f t="shared" si="39"/>
        <v>0</v>
      </c>
      <c r="R118" s="135">
        <f t="shared" si="40"/>
        <v>0</v>
      </c>
      <c r="S118" s="135">
        <f t="shared" si="41"/>
        <v>0</v>
      </c>
      <c r="T118" s="135">
        <f t="shared" si="42"/>
        <v>0</v>
      </c>
    </row>
    <row r="119" spans="1:20" ht="26.4">
      <c r="A119" s="53" t="str">
        <f t="shared" si="44"/>
        <v>1</v>
      </c>
      <c r="B119" s="51" t="s">
        <v>75</v>
      </c>
      <c r="C119" s="51" t="s">
        <v>673</v>
      </c>
      <c r="D119" s="148" t="s">
        <v>674</v>
      </c>
      <c r="E119" s="290" t="s">
        <v>113</v>
      </c>
      <c r="F119" s="50" t="s">
        <v>95</v>
      </c>
      <c r="G119" s="66"/>
      <c r="H119" s="359"/>
      <c r="I119" s="80" t="str">
        <f t="shared" ref="I119" si="45">IF(B119="","",IF(B119="B-Kriterium",1,"---"))</f>
        <v>---</v>
      </c>
      <c r="J119" s="80" t="str">
        <f t="shared" ref="J119" si="46">IF(B119="","",IF(B119="A-Kriterium","---",O119))</f>
        <v>---</v>
      </c>
      <c r="K119" s="50" t="str">
        <f t="shared" ref="K119" si="47">IF($B119="A-Kriterium","---",IF(B119="","",IF(AND(B119="B-Kriterium",G119="ja"),J119,0)))</f>
        <v>---</v>
      </c>
      <c r="L119" s="81" t="str">
        <f t="shared" ref="L119" si="48">IF(B119="A-Kriterium","---",IF(B119="","",I119*K119))</f>
        <v>---</v>
      </c>
      <c r="M119" s="42" t="str">
        <f t="shared" si="43"/>
        <v>offen</v>
      </c>
      <c r="N119" s="42"/>
      <c r="P119" s="135">
        <f t="shared" si="38"/>
        <v>1</v>
      </c>
      <c r="Q119" s="135">
        <f t="shared" si="39"/>
        <v>0</v>
      </c>
      <c r="R119" s="135">
        <f t="shared" si="40"/>
        <v>0</v>
      </c>
      <c r="S119" s="135">
        <f t="shared" si="41"/>
        <v>0</v>
      </c>
      <c r="T119" s="135">
        <f t="shared" si="42"/>
        <v>0</v>
      </c>
    </row>
    <row r="120" spans="1:20" ht="26.4">
      <c r="A120" s="358" t="str">
        <f t="shared" si="44"/>
        <v>1</v>
      </c>
      <c r="B120" s="51" t="s">
        <v>94</v>
      </c>
      <c r="C120" s="51" t="s">
        <v>675</v>
      </c>
      <c r="D120" s="148" t="s">
        <v>676</v>
      </c>
      <c r="E120" s="290" t="s">
        <v>677</v>
      </c>
      <c r="F120" s="50" t="s">
        <v>95</v>
      </c>
      <c r="G120" s="95"/>
      <c r="H120" s="317"/>
      <c r="I120" s="80">
        <f t="shared" ref="I120" si="49">IF(B120="","",IF(B120="B-Kriterium",1,"---"))</f>
        <v>1</v>
      </c>
      <c r="J120" s="80">
        <f t="shared" ref="J120" si="50">IF(B120="","",IF(B120="A-Kriterium","---",O120))</f>
        <v>5</v>
      </c>
      <c r="K120" s="50">
        <f>IF($B120="A-Kriterium","---",IF(B120="","",IF(AND(B120="B-Kriterium",G120="&gt;300 Nachversorger (5 Pkt.)"),J120,IF(AND(B120="B-Kriterium",G120="50-300 Nachversorger (1 Pkt.)"),1,0))))</f>
        <v>0</v>
      </c>
      <c r="L120" s="81">
        <f t="shared" ref="L120" si="51">IF(B120="A-Kriterium","---",IF(B120="","",I120*K120))</f>
        <v>0</v>
      </c>
      <c r="M120" s="42" t="str">
        <f t="shared" ref="M120" si="52">IF(AND(ISBLANK(G120)=FALSE,B120="B-Kriterium"),"ok",IF($B120="","",IF(AND(B120="A-Kriterium",G120="ja"),"ok",IF(AND(B120="A-Kriterium",G120="nein"),"nok","offen"))))</f>
        <v>offen</v>
      </c>
      <c r="N120" s="50"/>
      <c r="O120" s="51">
        <v>5</v>
      </c>
      <c r="P120" s="135">
        <f t="shared" si="38"/>
        <v>0</v>
      </c>
      <c r="Q120" s="135">
        <f t="shared" si="39"/>
        <v>0</v>
      </c>
      <c r="R120" s="135">
        <f t="shared" si="40"/>
        <v>1</v>
      </c>
      <c r="S120" s="135">
        <f t="shared" si="41"/>
        <v>0</v>
      </c>
      <c r="T120" s="135">
        <f t="shared" ref="T120" si="53">IF(M120="nok",1,0)</f>
        <v>0</v>
      </c>
    </row>
    <row r="121" spans="1:20" ht="26.4">
      <c r="A121" s="358" t="str">
        <f t="shared" si="44"/>
        <v>1</v>
      </c>
      <c r="B121" s="51" t="s">
        <v>94</v>
      </c>
      <c r="C121" s="51" t="s">
        <v>678</v>
      </c>
      <c r="D121" s="148" t="s">
        <v>679</v>
      </c>
      <c r="E121" s="290" t="s">
        <v>677</v>
      </c>
      <c r="F121" s="50" t="s">
        <v>95</v>
      </c>
      <c r="G121" s="95"/>
      <c r="H121" s="317"/>
      <c r="I121" s="80">
        <f t="shared" ref="I121" si="54">IF(B121="","",IF(B121="B-Kriterium",1,"---"))</f>
        <v>1</v>
      </c>
      <c r="J121" s="80">
        <f t="shared" ref="J121" si="55">IF(B121="","",IF(B121="A-Kriterium","---",O121))</f>
        <v>5</v>
      </c>
      <c r="K121" s="50">
        <f>IF($B121="A-Kriterium","---",IF(B121="","",IF(AND(B121="B-Kriterium",G121="&gt;500 Nachversorger (5 Pkt.)"),J121,IF(AND(B121="B-Kriterium",G121="250-500 Nachversorger (1 Pkt.)"),1,0))))</f>
        <v>0</v>
      </c>
      <c r="L121" s="81">
        <f t="shared" ref="L121" si="56">IF(B121="A-Kriterium","---",IF(B121="","",I121*K121))</f>
        <v>0</v>
      </c>
      <c r="M121" s="42" t="str">
        <f t="shared" ref="M121" si="57">IF(AND(ISBLANK(G121)=FALSE,B121="B-Kriterium"),"ok",IF($B121="","",IF(AND(B121="A-Kriterium",G121="ja"),"ok",IF(AND(B121="A-Kriterium",G121="nein"),"nok","offen"))))</f>
        <v>offen</v>
      </c>
      <c r="N121" s="50"/>
      <c r="O121" s="51">
        <v>5</v>
      </c>
      <c r="P121" s="135">
        <f t="shared" si="38"/>
        <v>0</v>
      </c>
      <c r="Q121" s="135">
        <f t="shared" si="39"/>
        <v>0</v>
      </c>
      <c r="R121" s="135">
        <f t="shared" si="40"/>
        <v>1</v>
      </c>
      <c r="S121" s="135">
        <f t="shared" si="41"/>
        <v>0</v>
      </c>
      <c r="T121" s="135">
        <f t="shared" ref="T121" si="58">IF(M121="nok",1,0)</f>
        <v>0</v>
      </c>
    </row>
    <row r="122" spans="1:20" ht="26.4">
      <c r="A122" s="53" t="str">
        <f t="shared" si="44"/>
        <v>1</v>
      </c>
      <c r="B122" s="51" t="s">
        <v>75</v>
      </c>
      <c r="C122" s="51" t="s">
        <v>678</v>
      </c>
      <c r="D122" s="55" t="s">
        <v>680</v>
      </c>
      <c r="E122" s="290" t="s">
        <v>113</v>
      </c>
      <c r="F122" s="50" t="s">
        <v>95</v>
      </c>
      <c r="G122" s="66"/>
      <c r="H122" s="317"/>
      <c r="I122" s="80" t="str">
        <f>IF(B122="","",IF(B122="B-Kriterium",1,"---"))</f>
        <v>---</v>
      </c>
      <c r="J122" s="80" t="str">
        <f>IF(B122="","",IF(B122="A-Kriterium","---",O122))</f>
        <v>---</v>
      </c>
      <c r="K122" s="50" t="str">
        <f>IF($B122="A-Kriterium","---",IF(B122="","",IF(AND(B122="B-Kriterium",G122="ja"),J122,0)))</f>
        <v>---</v>
      </c>
      <c r="L122" s="81" t="str">
        <f>IF(B122="A-Kriterium","---",IF(B122="","",I122*K122))</f>
        <v>---</v>
      </c>
      <c r="M122" s="42" t="str">
        <f t="shared" ref="M122:M134" si="59">IF(AND(ISBLANK(G122)=FALSE,B122="B-Kriterium"),"ok",IF($B122="","",IF(AND(B122="A-Kriterium",G122="ja"),"ok",IF(AND(B122="A-Kriterium",G122="nein"),"nok","offen"))))</f>
        <v>offen</v>
      </c>
      <c r="N122" s="50"/>
      <c r="O122" s="51"/>
      <c r="P122" s="135">
        <f t="shared" si="38"/>
        <v>1</v>
      </c>
      <c r="Q122" s="135">
        <f t="shared" si="39"/>
        <v>0</v>
      </c>
      <c r="R122" s="135">
        <f t="shared" si="40"/>
        <v>0</v>
      </c>
      <c r="S122" s="135">
        <f t="shared" si="41"/>
        <v>0</v>
      </c>
      <c r="T122" s="135">
        <f t="shared" ref="T122:T133" si="60">IF(M122="nok",1,0)</f>
        <v>0</v>
      </c>
    </row>
    <row r="123" spans="1:20" ht="14.4">
      <c r="A123" s="53" t="str">
        <f t="shared" si="44"/>
        <v>1</v>
      </c>
      <c r="B123" s="51" t="s">
        <v>94</v>
      </c>
      <c r="C123" s="51" t="s">
        <v>681</v>
      </c>
      <c r="D123" s="55" t="s">
        <v>682</v>
      </c>
      <c r="E123" s="290" t="s">
        <v>113</v>
      </c>
      <c r="F123" s="50" t="s">
        <v>95</v>
      </c>
      <c r="G123" s="66"/>
      <c r="H123" s="317"/>
      <c r="I123" s="80">
        <f>IF(B123="","",IF(B123="B-Kriterium",1,"---"))</f>
        <v>1</v>
      </c>
      <c r="J123" s="80">
        <f>IF(B123="","",IF(B123="A-Kriterium","---",O123))</f>
        <v>1</v>
      </c>
      <c r="K123" s="50">
        <f>IF($B123="A-Kriterium","---",IF(B123="","",IF(AND(B123="B-Kriterium",G123="ja"),J123,0)))</f>
        <v>0</v>
      </c>
      <c r="L123" s="81">
        <f>IF(B123="A-Kriterium","---",IF(B123="","",I123*K123))</f>
        <v>0</v>
      </c>
      <c r="M123" s="42" t="str">
        <f t="shared" si="59"/>
        <v>offen</v>
      </c>
      <c r="N123" s="50"/>
      <c r="O123" s="44">
        <v>1</v>
      </c>
      <c r="P123" s="135">
        <f t="shared" si="38"/>
        <v>0</v>
      </c>
      <c r="Q123" s="135">
        <f t="shared" si="39"/>
        <v>0</v>
      </c>
      <c r="R123" s="135">
        <f t="shared" si="40"/>
        <v>1</v>
      </c>
      <c r="S123" s="135">
        <f t="shared" si="41"/>
        <v>0</v>
      </c>
      <c r="T123" s="135">
        <f t="shared" si="60"/>
        <v>0</v>
      </c>
    </row>
    <row r="124" spans="1:20" ht="14.4">
      <c r="A124" s="53" t="str">
        <f t="shared" si="44"/>
        <v>1</v>
      </c>
      <c r="B124" s="51" t="s">
        <v>94</v>
      </c>
      <c r="C124" s="51" t="s">
        <v>683</v>
      </c>
      <c r="D124" s="55" t="s">
        <v>684</v>
      </c>
      <c r="E124" s="290" t="s">
        <v>113</v>
      </c>
      <c r="F124" s="50" t="s">
        <v>95</v>
      </c>
      <c r="G124" s="66"/>
      <c r="H124" s="317"/>
      <c r="I124" s="80">
        <f>IF(B124="","",IF(B124="B-Kriterium",1,"---"))</f>
        <v>1</v>
      </c>
      <c r="J124" s="80">
        <f>IF(B124="","",IF(B124="A-Kriterium","---",O124))</f>
        <v>1</v>
      </c>
      <c r="K124" s="50">
        <f>IF($B124="A-Kriterium","---",IF(B124="","",IF(AND(B124="B-Kriterium",G124="ja"),J124,0)))</f>
        <v>0</v>
      </c>
      <c r="L124" s="81">
        <f>IF(B124="A-Kriterium","---",IF(B124="","",I124*K124))</f>
        <v>0</v>
      </c>
      <c r="M124" s="42" t="str">
        <f t="shared" si="59"/>
        <v>offen</v>
      </c>
      <c r="N124" s="50"/>
      <c r="O124" s="44">
        <v>1</v>
      </c>
      <c r="P124" s="135">
        <f t="shared" si="38"/>
        <v>0</v>
      </c>
      <c r="Q124" s="135">
        <f t="shared" si="39"/>
        <v>0</v>
      </c>
      <c r="R124" s="135">
        <f t="shared" si="40"/>
        <v>1</v>
      </c>
      <c r="S124" s="135">
        <f t="shared" si="41"/>
        <v>0</v>
      </c>
      <c r="T124" s="135">
        <f t="shared" si="60"/>
        <v>0</v>
      </c>
    </row>
    <row r="125" spans="1:20" customFormat="1" ht="14.4">
      <c r="A125" s="53" t="str">
        <f t="shared" si="44"/>
        <v>1</v>
      </c>
      <c r="B125" s="51"/>
      <c r="C125" s="51"/>
      <c r="D125" s="55" t="s">
        <v>685</v>
      </c>
      <c r="E125" s="290"/>
      <c r="F125" s="50"/>
      <c r="G125" s="50"/>
      <c r="H125" s="50"/>
      <c r="I125" s="80" t="str">
        <f t="shared" ref="I125" si="61">IF(B125="","",IF(B125="B-Kriterium",1,"---"))</f>
        <v/>
      </c>
      <c r="J125" s="80" t="str">
        <f t="shared" ref="J125" si="62">IF(B125="","",IF(B125="A-Kriterium","---",O125))</f>
        <v/>
      </c>
      <c r="K125" s="50" t="str">
        <f t="shared" ref="K125" si="63">IF($B125="A-Kriterium","---",IF(B125="","",IF(AND(B125="B-Kriterium",G125="ja"),J125,0)))</f>
        <v/>
      </c>
      <c r="L125" s="81" t="str">
        <f t="shared" ref="L125" si="64">IF(B125="A-Kriterium","---",IF(B125="","",I125*K125))</f>
        <v/>
      </c>
      <c r="M125" s="81" t="str">
        <f t="shared" si="59"/>
        <v/>
      </c>
      <c r="N125" s="50"/>
      <c r="O125" s="15"/>
      <c r="P125" s="135">
        <f t="shared" si="38"/>
        <v>0</v>
      </c>
      <c r="Q125" s="135">
        <f t="shared" si="39"/>
        <v>0</v>
      </c>
      <c r="R125" s="135">
        <f t="shared" si="40"/>
        <v>0</v>
      </c>
      <c r="S125" s="135">
        <f t="shared" si="41"/>
        <v>0</v>
      </c>
      <c r="T125" s="135">
        <f t="shared" si="60"/>
        <v>0</v>
      </c>
    </row>
    <row r="126" spans="1:20" customFormat="1" ht="14.4">
      <c r="A126" s="53" t="str">
        <f t="shared" si="44"/>
        <v>1</v>
      </c>
      <c r="B126" s="32" t="s">
        <v>75</v>
      </c>
      <c r="C126" s="150" t="s">
        <v>686</v>
      </c>
      <c r="D126" s="336" t="s">
        <v>687</v>
      </c>
      <c r="E126" s="290" t="s">
        <v>113</v>
      </c>
      <c r="F126" s="50" t="s">
        <v>95</v>
      </c>
      <c r="G126" s="95"/>
      <c r="H126" s="100"/>
      <c r="I126" s="80" t="str">
        <f t="shared" ref="I126:I134" si="65">IF(B126="","",IF(B126="B-Kriterium",1,"---"))</f>
        <v>---</v>
      </c>
      <c r="J126" s="80" t="str">
        <f t="shared" ref="J126:J133" si="66">IF(B126="","",IF(B126="A-Kriterium","---",O126))</f>
        <v>---</v>
      </c>
      <c r="K126" s="50" t="str">
        <f t="shared" ref="K126:K134" si="67">IF($B126="A-Kriterium","---",IF(B126="","",IF(AND(B126="B-Kriterium",G126="ja"),J126,0)))</f>
        <v>---</v>
      </c>
      <c r="L126" s="81" t="str">
        <f t="shared" ref="L126:L134" si="68">IF(B126="A-Kriterium","---",IF(B126="","",I126*K126))</f>
        <v>---</v>
      </c>
      <c r="M126" s="42" t="str">
        <f t="shared" si="59"/>
        <v>offen</v>
      </c>
      <c r="N126" s="79"/>
      <c r="O126" s="32"/>
      <c r="P126" s="135">
        <f t="shared" si="38"/>
        <v>1</v>
      </c>
      <c r="Q126" s="135">
        <f t="shared" si="39"/>
        <v>0</v>
      </c>
      <c r="R126" s="135">
        <f t="shared" si="40"/>
        <v>0</v>
      </c>
      <c r="S126" s="135">
        <f t="shared" si="41"/>
        <v>0</v>
      </c>
      <c r="T126" s="135">
        <f t="shared" si="60"/>
        <v>0</v>
      </c>
    </row>
    <row r="127" spans="1:20" customFormat="1" ht="14.4">
      <c r="A127" s="53" t="str">
        <f t="shared" si="44"/>
        <v>1</v>
      </c>
      <c r="B127" s="32" t="s">
        <v>75</v>
      </c>
      <c r="C127" s="150" t="s">
        <v>688</v>
      </c>
      <c r="D127" s="336" t="s">
        <v>689</v>
      </c>
      <c r="E127" s="290" t="s">
        <v>113</v>
      </c>
      <c r="F127" s="50" t="s">
        <v>95</v>
      </c>
      <c r="G127" s="95"/>
      <c r="H127" s="100"/>
      <c r="I127" s="80" t="str">
        <f t="shared" si="65"/>
        <v>---</v>
      </c>
      <c r="J127" s="80" t="str">
        <f t="shared" si="66"/>
        <v>---</v>
      </c>
      <c r="K127" s="50" t="str">
        <f>IF($B127="A-Kriterium","---",IF(B127="","",IF(AND(B127="B-Kriterium",G127="ja"),J127,0)))</f>
        <v>---</v>
      </c>
      <c r="L127" s="81" t="str">
        <f t="shared" si="68"/>
        <v>---</v>
      </c>
      <c r="M127" s="42" t="str">
        <f>IF(AND(ISBLANK(G127)=FALSE,B127="B-Kriterium"),"ok",IF($B127="","",IF(AND(B127="A-Kriterium",G127="ja"),"ok",IF(AND(B127="A-Kriterium",G127="nein"),"nok","offen"))))</f>
        <v>offen</v>
      </c>
      <c r="N127" s="79"/>
      <c r="O127" s="44"/>
      <c r="P127" s="135">
        <f t="shared" si="38"/>
        <v>1</v>
      </c>
      <c r="Q127" s="135">
        <f t="shared" si="39"/>
        <v>0</v>
      </c>
      <c r="R127" s="135">
        <f t="shared" si="40"/>
        <v>0</v>
      </c>
      <c r="S127" s="135">
        <f t="shared" si="41"/>
        <v>0</v>
      </c>
      <c r="T127" s="135">
        <f t="shared" si="60"/>
        <v>0</v>
      </c>
    </row>
    <row r="128" spans="1:20" customFormat="1" ht="14.4">
      <c r="A128" s="53" t="str">
        <f t="shared" si="44"/>
        <v>1</v>
      </c>
      <c r="B128" s="32" t="s">
        <v>75</v>
      </c>
      <c r="C128" s="150" t="s">
        <v>690</v>
      </c>
      <c r="D128" s="336" t="s">
        <v>691</v>
      </c>
      <c r="E128" s="290" t="s">
        <v>113</v>
      </c>
      <c r="F128" s="50" t="s">
        <v>95</v>
      </c>
      <c r="G128" s="95"/>
      <c r="H128" s="100"/>
      <c r="I128" s="80" t="str">
        <f t="shared" si="65"/>
        <v>---</v>
      </c>
      <c r="J128" s="80" t="str">
        <f t="shared" si="66"/>
        <v>---</v>
      </c>
      <c r="K128" s="50" t="str">
        <f>IF($B128="A-Kriterium","---",IF(B128="","",IF(AND(B128="B-Kriterium",G128="ja"),J128,0)))</f>
        <v>---</v>
      </c>
      <c r="L128" s="81" t="str">
        <f t="shared" si="68"/>
        <v>---</v>
      </c>
      <c r="M128" s="42" t="str">
        <f>IF(AND(ISBLANK(G128)=FALSE,B128="B-Kriterium"),"ok",IF($B128="","",IF(AND(B128="A-Kriterium",G128="ja"),"ok",IF(AND(B128="A-Kriterium",G128="nein"),"nok","offen"))))</f>
        <v>offen</v>
      </c>
      <c r="N128" s="79"/>
      <c r="O128" s="44"/>
      <c r="P128" s="135">
        <f t="shared" si="38"/>
        <v>1</v>
      </c>
      <c r="Q128" s="135">
        <f t="shared" si="39"/>
        <v>0</v>
      </c>
      <c r="R128" s="135">
        <f t="shared" si="40"/>
        <v>0</v>
      </c>
      <c r="S128" s="135">
        <f t="shared" si="41"/>
        <v>0</v>
      </c>
      <c r="T128" s="135">
        <f t="shared" si="60"/>
        <v>0</v>
      </c>
    </row>
    <row r="129" spans="1:20" customFormat="1" ht="14.4">
      <c r="A129" s="53" t="str">
        <f t="shared" si="44"/>
        <v>1</v>
      </c>
      <c r="B129" s="32" t="s">
        <v>94</v>
      </c>
      <c r="C129" s="150" t="s">
        <v>692</v>
      </c>
      <c r="D129" s="336" t="s">
        <v>693</v>
      </c>
      <c r="E129" s="290" t="s">
        <v>113</v>
      </c>
      <c r="F129" s="50" t="s">
        <v>95</v>
      </c>
      <c r="G129" s="95"/>
      <c r="H129" s="100"/>
      <c r="I129" s="80">
        <f t="shared" si="65"/>
        <v>1</v>
      </c>
      <c r="J129" s="80">
        <f t="shared" si="66"/>
        <v>1</v>
      </c>
      <c r="K129" s="50">
        <f t="shared" si="67"/>
        <v>0</v>
      </c>
      <c r="L129" s="81">
        <f t="shared" si="68"/>
        <v>0</v>
      </c>
      <c r="M129" s="42" t="str">
        <f t="shared" si="59"/>
        <v>offen</v>
      </c>
      <c r="N129" s="79"/>
      <c r="O129" s="44">
        <v>1</v>
      </c>
      <c r="P129" s="135">
        <f t="shared" si="38"/>
        <v>0</v>
      </c>
      <c r="Q129" s="135">
        <f t="shared" si="39"/>
        <v>0</v>
      </c>
      <c r="R129" s="135">
        <f t="shared" si="40"/>
        <v>1</v>
      </c>
      <c r="S129" s="135">
        <f t="shared" si="41"/>
        <v>0</v>
      </c>
      <c r="T129" s="135">
        <f t="shared" si="60"/>
        <v>0</v>
      </c>
    </row>
    <row r="130" spans="1:20" customFormat="1" ht="14.4">
      <c r="A130" s="53" t="str">
        <f t="shared" si="44"/>
        <v>1</v>
      </c>
      <c r="B130" s="32" t="s">
        <v>75</v>
      </c>
      <c r="C130" s="150" t="s">
        <v>694</v>
      </c>
      <c r="D130" s="336" t="s">
        <v>695</v>
      </c>
      <c r="E130" s="290" t="s">
        <v>113</v>
      </c>
      <c r="F130" s="50" t="s">
        <v>95</v>
      </c>
      <c r="G130" s="95"/>
      <c r="H130" s="100"/>
      <c r="I130" s="80" t="str">
        <f t="shared" si="65"/>
        <v>---</v>
      </c>
      <c r="J130" s="80" t="str">
        <f t="shared" si="66"/>
        <v>---</v>
      </c>
      <c r="K130" s="50" t="str">
        <f t="shared" si="67"/>
        <v>---</v>
      </c>
      <c r="L130" s="81" t="str">
        <f t="shared" si="68"/>
        <v>---</v>
      </c>
      <c r="M130" s="42" t="str">
        <f t="shared" si="59"/>
        <v>offen</v>
      </c>
      <c r="N130" s="79"/>
      <c r="O130" s="32"/>
      <c r="P130" s="135">
        <f t="shared" si="38"/>
        <v>1</v>
      </c>
      <c r="Q130" s="135">
        <f t="shared" si="39"/>
        <v>0</v>
      </c>
      <c r="R130" s="135">
        <f t="shared" si="40"/>
        <v>0</v>
      </c>
      <c r="S130" s="135">
        <f t="shared" si="41"/>
        <v>0</v>
      </c>
      <c r="T130" s="135">
        <f t="shared" si="60"/>
        <v>0</v>
      </c>
    </row>
    <row r="131" spans="1:20" customFormat="1" ht="14.4">
      <c r="A131" s="53" t="str">
        <f t="shared" si="44"/>
        <v>1</v>
      </c>
      <c r="B131" s="32" t="s">
        <v>75</v>
      </c>
      <c r="C131" s="150" t="s">
        <v>696</v>
      </c>
      <c r="D131" s="336" t="s">
        <v>697</v>
      </c>
      <c r="E131" s="290" t="s">
        <v>113</v>
      </c>
      <c r="F131" s="50" t="s">
        <v>95</v>
      </c>
      <c r="G131" s="95"/>
      <c r="H131" s="100"/>
      <c r="I131" s="80" t="str">
        <f t="shared" si="65"/>
        <v>---</v>
      </c>
      <c r="J131" s="80" t="str">
        <f t="shared" si="66"/>
        <v>---</v>
      </c>
      <c r="K131" s="50" t="str">
        <f t="shared" si="67"/>
        <v>---</v>
      </c>
      <c r="L131" s="81" t="str">
        <f t="shared" si="68"/>
        <v>---</v>
      </c>
      <c r="M131" s="42" t="str">
        <f t="shared" si="59"/>
        <v>offen</v>
      </c>
      <c r="N131" s="79"/>
      <c r="O131" s="44">
        <v>1</v>
      </c>
      <c r="P131" s="135">
        <f t="shared" si="38"/>
        <v>1</v>
      </c>
      <c r="Q131" s="135">
        <f t="shared" si="39"/>
        <v>0</v>
      </c>
      <c r="R131" s="135">
        <f t="shared" si="40"/>
        <v>0</v>
      </c>
      <c r="S131" s="135">
        <f t="shared" si="41"/>
        <v>0</v>
      </c>
      <c r="T131" s="135">
        <f t="shared" si="60"/>
        <v>0</v>
      </c>
    </row>
    <row r="132" spans="1:20" customFormat="1" ht="14.4">
      <c r="A132" s="53" t="str">
        <f t="shared" si="44"/>
        <v>1</v>
      </c>
      <c r="B132" s="32" t="s">
        <v>75</v>
      </c>
      <c r="C132" s="150" t="s">
        <v>698</v>
      </c>
      <c r="D132" s="336" t="s">
        <v>699</v>
      </c>
      <c r="E132" s="290" t="s">
        <v>113</v>
      </c>
      <c r="F132" s="50" t="s">
        <v>95</v>
      </c>
      <c r="G132" s="95"/>
      <c r="H132" s="100"/>
      <c r="I132" s="80" t="str">
        <f t="shared" si="65"/>
        <v>---</v>
      </c>
      <c r="J132" s="80" t="str">
        <f t="shared" si="66"/>
        <v>---</v>
      </c>
      <c r="K132" s="50" t="str">
        <f t="shared" si="67"/>
        <v>---</v>
      </c>
      <c r="L132" s="81" t="str">
        <f t="shared" si="68"/>
        <v>---</v>
      </c>
      <c r="M132" s="42" t="str">
        <f t="shared" si="59"/>
        <v>offen</v>
      </c>
      <c r="N132" s="79"/>
      <c r="O132" s="44">
        <v>1</v>
      </c>
      <c r="P132" s="135">
        <f t="shared" si="38"/>
        <v>1</v>
      </c>
      <c r="Q132" s="135">
        <f t="shared" si="39"/>
        <v>0</v>
      </c>
      <c r="R132" s="135">
        <f t="shared" si="40"/>
        <v>0</v>
      </c>
      <c r="S132" s="135">
        <f t="shared" si="41"/>
        <v>0</v>
      </c>
      <c r="T132" s="135">
        <f t="shared" si="60"/>
        <v>0</v>
      </c>
    </row>
    <row r="133" spans="1:20" customFormat="1" ht="14.4">
      <c r="A133" s="53" t="str">
        <f t="shared" si="44"/>
        <v>1</v>
      </c>
      <c r="B133" s="51" t="s">
        <v>94</v>
      </c>
      <c r="C133" s="150" t="s">
        <v>700</v>
      </c>
      <c r="D133" s="267" t="s">
        <v>701</v>
      </c>
      <c r="E133" s="290" t="s">
        <v>113</v>
      </c>
      <c r="F133" s="50" t="s">
        <v>95</v>
      </c>
      <c r="G133" s="95"/>
      <c r="H133" s="100"/>
      <c r="I133" s="80">
        <f t="shared" si="65"/>
        <v>1</v>
      </c>
      <c r="J133" s="80">
        <f t="shared" si="66"/>
        <v>1</v>
      </c>
      <c r="K133" s="50">
        <f t="shared" si="67"/>
        <v>0</v>
      </c>
      <c r="L133" s="81">
        <f t="shared" si="68"/>
        <v>0</v>
      </c>
      <c r="M133" s="42" t="str">
        <f t="shared" si="59"/>
        <v>offen</v>
      </c>
      <c r="N133" s="79"/>
      <c r="O133" s="44">
        <v>1</v>
      </c>
      <c r="P133" s="135">
        <f t="shared" si="38"/>
        <v>0</v>
      </c>
      <c r="Q133" s="135">
        <f t="shared" si="39"/>
        <v>0</v>
      </c>
      <c r="R133" s="135">
        <f t="shared" si="40"/>
        <v>1</v>
      </c>
      <c r="S133" s="135">
        <f t="shared" si="41"/>
        <v>0</v>
      </c>
      <c r="T133" s="135">
        <f t="shared" si="60"/>
        <v>0</v>
      </c>
    </row>
    <row r="134" spans="1:20" customFormat="1" ht="14.4">
      <c r="A134" s="53" t="str">
        <f t="shared" si="44"/>
        <v>1</v>
      </c>
      <c r="B134" s="51" t="s">
        <v>94</v>
      </c>
      <c r="C134" s="150" t="s">
        <v>702</v>
      </c>
      <c r="D134" s="267" t="s">
        <v>703</v>
      </c>
      <c r="E134" s="290" t="s">
        <v>113</v>
      </c>
      <c r="F134" s="50" t="s">
        <v>95</v>
      </c>
      <c r="G134" s="95"/>
      <c r="H134" s="100"/>
      <c r="I134" s="80">
        <f t="shared" si="65"/>
        <v>1</v>
      </c>
      <c r="J134" s="80">
        <f t="shared" ref="J134:J179" si="69">IF(B134="","",IF(B134="A-Kriterium","---",O134))</f>
        <v>1</v>
      </c>
      <c r="K134" s="50">
        <f t="shared" si="67"/>
        <v>0</v>
      </c>
      <c r="L134" s="81">
        <f t="shared" si="68"/>
        <v>0</v>
      </c>
      <c r="M134" s="42" t="str">
        <f t="shared" si="59"/>
        <v>offen</v>
      </c>
      <c r="N134" s="79"/>
      <c r="O134" s="44">
        <v>1</v>
      </c>
      <c r="P134" s="135">
        <f t="shared" ref="P134:P164" si="70">IF(AND($F134="Bieter/in",$B134="A-Kriterium",$M134=P$9),1,0)</f>
        <v>0</v>
      </c>
      <c r="Q134" s="135">
        <f t="shared" ref="Q134:Q164" si="71">IF(AND($F134="Auftragsgeber/in",$B134="A-Kriterium",$M134=Q$9),1,0)</f>
        <v>0</v>
      </c>
      <c r="R134" s="135">
        <f t="shared" ref="R134:R164" si="72">IF(AND($F134="Bieter/in",$B134="B-Kriterium",$M134=R$9),1,0)</f>
        <v>1</v>
      </c>
      <c r="S134" s="135">
        <f t="shared" ref="S134:S164" si="73">IF(AND($F134="Auftragsgeber/in",$B134="B-Kriterium",$M134=S$9),1,0)</f>
        <v>0</v>
      </c>
      <c r="T134" s="135">
        <f t="shared" ref="T134:T179" si="74">IF(M134="nok",1,0)</f>
        <v>0</v>
      </c>
    </row>
    <row r="135" spans="1:20" customFormat="1" ht="14.4">
      <c r="A135" s="53" t="str">
        <f t="shared" si="44"/>
        <v>1</v>
      </c>
      <c r="B135" s="32" t="s">
        <v>75</v>
      </c>
      <c r="C135" s="150" t="s">
        <v>704</v>
      </c>
      <c r="D135" s="336" t="s">
        <v>705</v>
      </c>
      <c r="E135" s="290" t="s">
        <v>113</v>
      </c>
      <c r="F135" s="50" t="s">
        <v>95</v>
      </c>
      <c r="G135" s="95"/>
      <c r="H135" s="100"/>
      <c r="I135" s="80" t="str">
        <f t="shared" ref="I135:I179" si="75">IF(B135="","",IF(B135="B-Kriterium",1,"---"))</f>
        <v>---</v>
      </c>
      <c r="J135" s="80" t="str">
        <f t="shared" si="69"/>
        <v>---</v>
      </c>
      <c r="K135" s="50" t="str">
        <f t="shared" ref="K135:K179" si="76">IF($B135="A-Kriterium","---",IF(B135="","",IF(AND(B135="B-Kriterium",G135="ja"),J135,0)))</f>
        <v>---</v>
      </c>
      <c r="L135" s="81" t="str">
        <f t="shared" ref="L135:L179" si="77">IF(B135="A-Kriterium","---",IF(B135="","",I135*K135))</f>
        <v>---</v>
      </c>
      <c r="M135" s="42" t="str">
        <f t="shared" ref="M135:M179" si="78">IF(AND(ISBLANK(G135)=FALSE,B135="B-Kriterium"),"ok",IF($B135="","",IF(AND(B135="A-Kriterium",G135="ja"),"ok",IF(AND(B135="A-Kriterium",G135="nein"),"nok","offen"))))</f>
        <v>offen</v>
      </c>
      <c r="N135" s="79"/>
      <c r="O135" s="32"/>
      <c r="P135" s="135">
        <f t="shared" si="70"/>
        <v>1</v>
      </c>
      <c r="Q135" s="135">
        <f t="shared" si="71"/>
        <v>0</v>
      </c>
      <c r="R135" s="135">
        <f t="shared" si="72"/>
        <v>0</v>
      </c>
      <c r="S135" s="135">
        <f t="shared" si="73"/>
        <v>0</v>
      </c>
      <c r="T135" s="135">
        <f t="shared" si="74"/>
        <v>0</v>
      </c>
    </row>
    <row r="136" spans="1:20" customFormat="1" ht="14.4">
      <c r="A136" s="53" t="str">
        <f t="shared" si="44"/>
        <v>1</v>
      </c>
      <c r="B136" s="32" t="s">
        <v>75</v>
      </c>
      <c r="C136" s="150" t="s">
        <v>706</v>
      </c>
      <c r="D136" s="336" t="s">
        <v>707</v>
      </c>
      <c r="E136" s="290" t="s">
        <v>113</v>
      </c>
      <c r="F136" s="50" t="s">
        <v>95</v>
      </c>
      <c r="G136" s="95"/>
      <c r="H136" s="100"/>
      <c r="I136" s="80" t="str">
        <f t="shared" si="75"/>
        <v>---</v>
      </c>
      <c r="J136" s="80" t="str">
        <f t="shared" si="69"/>
        <v>---</v>
      </c>
      <c r="K136" s="50" t="str">
        <f t="shared" si="76"/>
        <v>---</v>
      </c>
      <c r="L136" s="81" t="str">
        <f t="shared" si="77"/>
        <v>---</v>
      </c>
      <c r="M136" s="42" t="str">
        <f t="shared" si="78"/>
        <v>offen</v>
      </c>
      <c r="N136" s="79"/>
      <c r="O136" s="32"/>
      <c r="P136" s="135">
        <f t="shared" si="70"/>
        <v>1</v>
      </c>
      <c r="Q136" s="135">
        <f t="shared" si="71"/>
        <v>0</v>
      </c>
      <c r="R136" s="135">
        <f t="shared" si="72"/>
        <v>0</v>
      </c>
      <c r="S136" s="135">
        <f t="shared" si="73"/>
        <v>0</v>
      </c>
      <c r="T136" s="135">
        <f t="shared" si="74"/>
        <v>0</v>
      </c>
    </row>
    <row r="137" spans="1:20" customFormat="1" ht="14.4">
      <c r="A137" s="53" t="str">
        <f t="shared" si="44"/>
        <v>1</v>
      </c>
      <c r="B137" s="51" t="s">
        <v>75</v>
      </c>
      <c r="C137" s="150" t="s">
        <v>708</v>
      </c>
      <c r="D137" s="336" t="s">
        <v>709</v>
      </c>
      <c r="E137" s="290" t="s">
        <v>113</v>
      </c>
      <c r="F137" s="50" t="s">
        <v>95</v>
      </c>
      <c r="G137" s="95"/>
      <c r="H137" s="100"/>
      <c r="I137" s="80" t="str">
        <f t="shared" si="75"/>
        <v>---</v>
      </c>
      <c r="J137" s="80" t="str">
        <f t="shared" si="69"/>
        <v>---</v>
      </c>
      <c r="K137" s="50" t="str">
        <f t="shared" si="76"/>
        <v>---</v>
      </c>
      <c r="L137" s="81" t="str">
        <f t="shared" si="77"/>
        <v>---</v>
      </c>
      <c r="M137" s="42" t="str">
        <f t="shared" si="78"/>
        <v>offen</v>
      </c>
      <c r="N137" s="79"/>
      <c r="O137" s="44"/>
      <c r="P137" s="135">
        <f t="shared" si="70"/>
        <v>1</v>
      </c>
      <c r="Q137" s="135">
        <f t="shared" si="71"/>
        <v>0</v>
      </c>
      <c r="R137" s="135">
        <f t="shared" si="72"/>
        <v>0</v>
      </c>
      <c r="S137" s="135">
        <f t="shared" si="73"/>
        <v>0</v>
      </c>
      <c r="T137" s="135">
        <f t="shared" si="74"/>
        <v>0</v>
      </c>
    </row>
    <row r="138" spans="1:20" customFormat="1" ht="14.4">
      <c r="A138" s="53" t="str">
        <f t="shared" si="44"/>
        <v>1</v>
      </c>
      <c r="B138" s="32" t="s">
        <v>75</v>
      </c>
      <c r="C138" s="150" t="s">
        <v>710</v>
      </c>
      <c r="D138" s="336" t="s">
        <v>711</v>
      </c>
      <c r="E138" s="290" t="s">
        <v>113</v>
      </c>
      <c r="F138" s="50" t="s">
        <v>95</v>
      </c>
      <c r="G138" s="95"/>
      <c r="H138" s="100"/>
      <c r="I138" s="80" t="str">
        <f t="shared" si="75"/>
        <v>---</v>
      </c>
      <c r="J138" s="80" t="str">
        <f t="shared" si="69"/>
        <v>---</v>
      </c>
      <c r="K138" s="50" t="str">
        <f t="shared" si="76"/>
        <v>---</v>
      </c>
      <c r="L138" s="81" t="str">
        <f t="shared" si="77"/>
        <v>---</v>
      </c>
      <c r="M138" s="42" t="str">
        <f t="shared" si="78"/>
        <v>offen</v>
      </c>
      <c r="N138" s="79"/>
      <c r="O138" s="32"/>
      <c r="P138" s="135">
        <f t="shared" si="70"/>
        <v>1</v>
      </c>
      <c r="Q138" s="135">
        <f t="shared" si="71"/>
        <v>0</v>
      </c>
      <c r="R138" s="135">
        <f t="shared" si="72"/>
        <v>0</v>
      </c>
      <c r="S138" s="135">
        <f t="shared" si="73"/>
        <v>0</v>
      </c>
      <c r="T138" s="135">
        <f t="shared" si="74"/>
        <v>0</v>
      </c>
    </row>
    <row r="139" spans="1:20" customFormat="1" ht="15.45" customHeight="1">
      <c r="A139" s="53" t="str">
        <f t="shared" si="44"/>
        <v>1</v>
      </c>
      <c r="B139" s="51" t="s">
        <v>75</v>
      </c>
      <c r="C139" s="150" t="s">
        <v>712</v>
      </c>
      <c r="D139" s="267" t="s">
        <v>713</v>
      </c>
      <c r="E139" s="290" t="s">
        <v>113</v>
      </c>
      <c r="F139" s="50" t="s">
        <v>95</v>
      </c>
      <c r="G139" s="95"/>
      <c r="H139" s="100"/>
      <c r="I139" s="80" t="str">
        <f t="shared" si="75"/>
        <v>---</v>
      </c>
      <c r="J139" s="80" t="str">
        <f t="shared" si="69"/>
        <v>---</v>
      </c>
      <c r="K139" s="50" t="str">
        <f t="shared" si="76"/>
        <v>---</v>
      </c>
      <c r="L139" s="81" t="str">
        <f t="shared" si="77"/>
        <v>---</v>
      </c>
      <c r="M139" s="42" t="str">
        <f t="shared" si="78"/>
        <v>offen</v>
      </c>
      <c r="N139" s="50"/>
      <c r="O139" s="44"/>
      <c r="P139" s="135">
        <f t="shared" si="70"/>
        <v>1</v>
      </c>
      <c r="Q139" s="135">
        <f t="shared" si="71"/>
        <v>0</v>
      </c>
      <c r="R139" s="135">
        <f t="shared" si="72"/>
        <v>0</v>
      </c>
      <c r="S139" s="135">
        <f t="shared" si="73"/>
        <v>0</v>
      </c>
      <c r="T139" s="135">
        <f t="shared" si="74"/>
        <v>0</v>
      </c>
    </row>
    <row r="140" spans="1:20" customFormat="1" ht="15.45" customHeight="1">
      <c r="A140" s="53" t="str">
        <f t="shared" si="44"/>
        <v>1</v>
      </c>
      <c r="B140" s="51" t="s">
        <v>94</v>
      </c>
      <c r="C140" s="150" t="s">
        <v>714</v>
      </c>
      <c r="D140" s="267" t="s">
        <v>715</v>
      </c>
      <c r="E140" s="290" t="s">
        <v>113</v>
      </c>
      <c r="F140" s="50" t="s">
        <v>95</v>
      </c>
      <c r="G140" s="95"/>
      <c r="H140" s="100"/>
      <c r="I140" s="80">
        <f t="shared" si="75"/>
        <v>1</v>
      </c>
      <c r="J140" s="80">
        <f t="shared" si="69"/>
        <v>5</v>
      </c>
      <c r="K140" s="50">
        <f t="shared" si="76"/>
        <v>0</v>
      </c>
      <c r="L140" s="81">
        <f t="shared" si="77"/>
        <v>0</v>
      </c>
      <c r="M140" s="42" t="str">
        <f t="shared" si="78"/>
        <v>offen</v>
      </c>
      <c r="N140" s="50"/>
      <c r="O140" s="44">
        <v>5</v>
      </c>
      <c r="P140" s="135">
        <f t="shared" si="70"/>
        <v>0</v>
      </c>
      <c r="Q140" s="135">
        <f t="shared" si="71"/>
        <v>0</v>
      </c>
      <c r="R140" s="135">
        <f t="shared" si="72"/>
        <v>1</v>
      </c>
      <c r="S140" s="135">
        <f t="shared" si="73"/>
        <v>0</v>
      </c>
      <c r="T140" s="135">
        <f t="shared" si="74"/>
        <v>0</v>
      </c>
    </row>
    <row r="141" spans="1:20" customFormat="1" ht="14.4">
      <c r="A141" s="53" t="str">
        <f t="shared" si="44"/>
        <v>1</v>
      </c>
      <c r="B141" s="51" t="s">
        <v>94</v>
      </c>
      <c r="C141" s="150" t="s">
        <v>716</v>
      </c>
      <c r="D141" s="267" t="s">
        <v>717</v>
      </c>
      <c r="E141" s="290" t="s">
        <v>113</v>
      </c>
      <c r="F141" s="50" t="s">
        <v>95</v>
      </c>
      <c r="G141" s="95"/>
      <c r="H141" s="100"/>
      <c r="I141" s="80">
        <f t="shared" si="75"/>
        <v>1</v>
      </c>
      <c r="J141" s="80">
        <f t="shared" si="69"/>
        <v>5</v>
      </c>
      <c r="K141" s="50">
        <f t="shared" si="76"/>
        <v>0</v>
      </c>
      <c r="L141" s="81">
        <f t="shared" si="77"/>
        <v>0</v>
      </c>
      <c r="M141" s="42" t="str">
        <f t="shared" si="78"/>
        <v>offen</v>
      </c>
      <c r="N141" s="50"/>
      <c r="O141" s="44">
        <v>5</v>
      </c>
      <c r="P141" s="135">
        <f t="shared" si="70"/>
        <v>0</v>
      </c>
      <c r="Q141" s="135">
        <f t="shared" si="71"/>
        <v>0</v>
      </c>
      <c r="R141" s="135">
        <f t="shared" si="72"/>
        <v>1</v>
      </c>
      <c r="S141" s="135">
        <f t="shared" si="73"/>
        <v>0</v>
      </c>
      <c r="T141" s="135">
        <f t="shared" si="74"/>
        <v>0</v>
      </c>
    </row>
    <row r="142" spans="1:20" customFormat="1" ht="14.4">
      <c r="A142" s="53" t="str">
        <f t="shared" si="44"/>
        <v>1</v>
      </c>
      <c r="B142" s="51" t="s">
        <v>94</v>
      </c>
      <c r="C142" s="150" t="s">
        <v>718</v>
      </c>
      <c r="D142" s="267" t="s">
        <v>719</v>
      </c>
      <c r="E142" s="290" t="s">
        <v>113</v>
      </c>
      <c r="F142" s="50" t="s">
        <v>95</v>
      </c>
      <c r="G142" s="95"/>
      <c r="H142" s="100"/>
      <c r="I142" s="80">
        <f t="shared" si="75"/>
        <v>1</v>
      </c>
      <c r="J142" s="80">
        <f t="shared" si="69"/>
        <v>5</v>
      </c>
      <c r="K142" s="50">
        <f t="shared" si="76"/>
        <v>0</v>
      </c>
      <c r="L142" s="81">
        <f t="shared" si="77"/>
        <v>0</v>
      </c>
      <c r="M142" s="42" t="str">
        <f t="shared" si="78"/>
        <v>offen</v>
      </c>
      <c r="N142" s="50"/>
      <c r="O142" s="44">
        <v>5</v>
      </c>
      <c r="P142" s="135">
        <f t="shared" si="70"/>
        <v>0</v>
      </c>
      <c r="Q142" s="135">
        <f t="shared" si="71"/>
        <v>0</v>
      </c>
      <c r="R142" s="135">
        <f t="shared" si="72"/>
        <v>1</v>
      </c>
      <c r="S142" s="135">
        <f t="shared" si="73"/>
        <v>0</v>
      </c>
      <c r="T142" s="135">
        <f t="shared" si="74"/>
        <v>0</v>
      </c>
    </row>
    <row r="143" spans="1:20" customFormat="1" ht="14.4">
      <c r="A143" s="53" t="str">
        <f t="shared" si="44"/>
        <v>1</v>
      </c>
      <c r="B143" s="51" t="s">
        <v>94</v>
      </c>
      <c r="C143" s="150" t="s">
        <v>720</v>
      </c>
      <c r="D143" s="205" t="s">
        <v>721</v>
      </c>
      <c r="E143" s="290" t="s">
        <v>113</v>
      </c>
      <c r="F143" s="50" t="s">
        <v>95</v>
      </c>
      <c r="G143" s="95"/>
      <c r="H143" s="100"/>
      <c r="I143" s="80">
        <f t="shared" si="75"/>
        <v>1</v>
      </c>
      <c r="J143" s="80">
        <f t="shared" si="69"/>
        <v>1</v>
      </c>
      <c r="K143" s="50">
        <f t="shared" si="76"/>
        <v>0</v>
      </c>
      <c r="L143" s="81">
        <f t="shared" si="77"/>
        <v>0</v>
      </c>
      <c r="M143" s="42" t="str">
        <f t="shared" si="78"/>
        <v>offen</v>
      </c>
      <c r="N143" s="50"/>
      <c r="O143" s="44">
        <v>1</v>
      </c>
      <c r="P143" s="135">
        <f t="shared" si="70"/>
        <v>0</v>
      </c>
      <c r="Q143" s="135">
        <f t="shared" si="71"/>
        <v>0</v>
      </c>
      <c r="R143" s="135">
        <f t="shared" si="72"/>
        <v>1</v>
      </c>
      <c r="S143" s="135">
        <f t="shared" si="73"/>
        <v>0</v>
      </c>
      <c r="T143" s="135">
        <f t="shared" si="74"/>
        <v>0</v>
      </c>
    </row>
    <row r="144" spans="1:20" customFormat="1" ht="14.4">
      <c r="A144" s="53" t="str">
        <f t="shared" si="44"/>
        <v>1</v>
      </c>
      <c r="B144" s="51" t="s">
        <v>94</v>
      </c>
      <c r="C144" s="150" t="s">
        <v>722</v>
      </c>
      <c r="D144" s="205" t="s">
        <v>723</v>
      </c>
      <c r="E144" s="290" t="s">
        <v>113</v>
      </c>
      <c r="F144" s="50" t="s">
        <v>95</v>
      </c>
      <c r="G144" s="95"/>
      <c r="H144" s="100"/>
      <c r="I144" s="80">
        <f t="shared" si="75"/>
        <v>1</v>
      </c>
      <c r="J144" s="80">
        <f t="shared" si="69"/>
        <v>1</v>
      </c>
      <c r="K144" s="50">
        <f t="shared" si="76"/>
        <v>0</v>
      </c>
      <c r="L144" s="81">
        <f t="shared" si="77"/>
        <v>0</v>
      </c>
      <c r="M144" s="42" t="str">
        <f t="shared" si="78"/>
        <v>offen</v>
      </c>
      <c r="N144" s="50"/>
      <c r="O144" s="44">
        <v>1</v>
      </c>
      <c r="P144" s="135">
        <f t="shared" si="70"/>
        <v>0</v>
      </c>
      <c r="Q144" s="135">
        <f t="shared" si="71"/>
        <v>0</v>
      </c>
      <c r="R144" s="135">
        <f t="shared" si="72"/>
        <v>1</v>
      </c>
      <c r="S144" s="135">
        <f t="shared" si="73"/>
        <v>0</v>
      </c>
      <c r="T144" s="135">
        <f t="shared" si="74"/>
        <v>0</v>
      </c>
    </row>
    <row r="145" spans="1:20" customFormat="1" ht="26.4">
      <c r="A145" s="53" t="str">
        <f t="shared" si="44"/>
        <v>1</v>
      </c>
      <c r="B145" s="51" t="s">
        <v>94</v>
      </c>
      <c r="C145" s="150" t="s">
        <v>724</v>
      </c>
      <c r="D145" s="205" t="s">
        <v>725</v>
      </c>
      <c r="E145" s="290" t="s">
        <v>113</v>
      </c>
      <c r="F145" s="50" t="s">
        <v>95</v>
      </c>
      <c r="G145" s="95"/>
      <c r="H145" s="100"/>
      <c r="I145" s="80">
        <f>IF(B145="","",IF(B145="B-Kriterium",1,"---"))</f>
        <v>1</v>
      </c>
      <c r="J145" s="80">
        <f>IF(B145="","",IF(B145="A-Kriterium","---",O145))</f>
        <v>1</v>
      </c>
      <c r="K145" s="50">
        <f>IF($B145="A-Kriterium","---",IF(B145="","",IF(AND(B145="B-Kriterium",G145="ja"),J145,0)))</f>
        <v>0</v>
      </c>
      <c r="L145" s="81">
        <f>IF(B145="A-Kriterium","---",IF(B145="","",I145*K145))</f>
        <v>0</v>
      </c>
      <c r="M145" s="42" t="str">
        <f>IF(AND(ISBLANK(G145)=FALSE,B145="B-Kriterium"),"ok",IF($B145="","",IF(AND(B145="A-Kriterium",G145="ja"),"ok",IF(AND(B145="A-Kriterium",G145="nein"),"nok","offen"))))</f>
        <v>offen</v>
      </c>
      <c r="N145" s="50"/>
      <c r="O145" s="44">
        <v>1</v>
      </c>
      <c r="P145" s="135">
        <f t="shared" si="70"/>
        <v>0</v>
      </c>
      <c r="Q145" s="135">
        <f t="shared" si="71"/>
        <v>0</v>
      </c>
      <c r="R145" s="135">
        <f t="shared" si="72"/>
        <v>1</v>
      </c>
      <c r="S145" s="135">
        <f t="shared" si="73"/>
        <v>0</v>
      </c>
      <c r="T145" s="135">
        <f t="shared" si="74"/>
        <v>0</v>
      </c>
    </row>
    <row r="146" spans="1:20" customFormat="1" ht="26.4">
      <c r="A146" s="53"/>
      <c r="B146" s="51" t="s">
        <v>94</v>
      </c>
      <c r="C146" s="150" t="s">
        <v>726</v>
      </c>
      <c r="D146" s="205" t="s">
        <v>727</v>
      </c>
      <c r="E146" s="290" t="s">
        <v>113</v>
      </c>
      <c r="F146" s="50" t="s">
        <v>95</v>
      </c>
      <c r="G146" s="95"/>
      <c r="H146" s="100"/>
      <c r="I146" s="80">
        <f>IF(B146="","",IF(B146="B-Kriterium",1,"---"))</f>
        <v>1</v>
      </c>
      <c r="J146" s="80">
        <f>IF(B146="","",IF(B146="A-Kriterium","---",O146))</f>
        <v>5</v>
      </c>
      <c r="K146" s="50">
        <f>IF($B146="A-Kriterium","---",IF(B146="","",IF(AND(B146="B-Kriterium",G146="ja"),J146,0)))</f>
        <v>0</v>
      </c>
      <c r="L146" s="81">
        <f>IF(B146="A-Kriterium","---",IF(B146="","",I146*K146))</f>
        <v>0</v>
      </c>
      <c r="M146" s="42" t="str">
        <f>IF(AND(ISBLANK(G146)=FALSE,B146="B-Kriterium"),"ok",IF($B146="","",IF(AND(B146="A-Kriterium",G146="ja"),"ok",IF(AND(B146="A-Kriterium",G146="nein"),"nok","offen"))))</f>
        <v>offen</v>
      </c>
      <c r="N146" s="50"/>
      <c r="O146" s="44">
        <v>5</v>
      </c>
      <c r="P146" s="135">
        <f t="shared" si="70"/>
        <v>0</v>
      </c>
      <c r="Q146" s="135">
        <f t="shared" si="71"/>
        <v>0</v>
      </c>
      <c r="R146" s="135">
        <f t="shared" si="72"/>
        <v>1</v>
      </c>
      <c r="S146" s="135">
        <f t="shared" si="73"/>
        <v>0</v>
      </c>
      <c r="T146" s="135">
        <f t="shared" ref="T146" si="79">IF(M146="nok",1,0)</f>
        <v>0</v>
      </c>
    </row>
    <row r="147" spans="1:20" customFormat="1" ht="14.4">
      <c r="A147" s="334" t="str">
        <f t="shared" ref="A147:A173" si="80">IF(D147="","","1")</f>
        <v/>
      </c>
      <c r="B147" s="51"/>
      <c r="C147" s="51"/>
      <c r="D147" s="267"/>
      <c r="E147" s="290"/>
      <c r="F147" s="50"/>
      <c r="G147" s="50"/>
      <c r="H147" s="50"/>
      <c r="I147" s="80" t="str">
        <f t="shared" si="75"/>
        <v/>
      </c>
      <c r="J147" s="80" t="str">
        <f t="shared" si="69"/>
        <v/>
      </c>
      <c r="K147" s="50" t="str">
        <f t="shared" si="76"/>
        <v/>
      </c>
      <c r="L147" s="81" t="str">
        <f t="shared" si="77"/>
        <v/>
      </c>
      <c r="M147" s="81" t="str">
        <f t="shared" si="78"/>
        <v/>
      </c>
      <c r="N147" s="50"/>
      <c r="O147" s="44"/>
      <c r="P147" s="135">
        <f t="shared" si="70"/>
        <v>0</v>
      </c>
      <c r="Q147" s="135">
        <f t="shared" si="71"/>
        <v>0</v>
      </c>
      <c r="R147" s="135">
        <f t="shared" si="72"/>
        <v>0</v>
      </c>
      <c r="S147" s="135">
        <f t="shared" si="73"/>
        <v>0</v>
      </c>
      <c r="T147" s="135">
        <f t="shared" si="74"/>
        <v>0</v>
      </c>
    </row>
    <row r="148" spans="1:20" customFormat="1" ht="14.4">
      <c r="A148" s="53" t="str">
        <f t="shared" si="80"/>
        <v>1</v>
      </c>
      <c r="B148" s="51"/>
      <c r="C148" s="150" t="s">
        <v>728</v>
      </c>
      <c r="D148" s="205" t="s">
        <v>729</v>
      </c>
      <c r="E148" s="290"/>
      <c r="F148" s="50"/>
      <c r="G148" s="95"/>
      <c r="H148" s="100"/>
      <c r="I148" s="80" t="str">
        <f t="shared" si="75"/>
        <v/>
      </c>
      <c r="J148" s="80" t="str">
        <f t="shared" si="69"/>
        <v/>
      </c>
      <c r="K148" s="50" t="str">
        <f t="shared" si="76"/>
        <v/>
      </c>
      <c r="L148" s="81" t="str">
        <f t="shared" si="77"/>
        <v/>
      </c>
      <c r="M148" s="42" t="str">
        <f t="shared" si="78"/>
        <v/>
      </c>
      <c r="N148" s="50"/>
      <c r="O148" s="44"/>
      <c r="P148" s="135">
        <f t="shared" si="70"/>
        <v>0</v>
      </c>
      <c r="Q148" s="135">
        <f t="shared" si="71"/>
        <v>0</v>
      </c>
      <c r="R148" s="135">
        <f t="shared" si="72"/>
        <v>0</v>
      </c>
      <c r="S148" s="135">
        <f t="shared" si="73"/>
        <v>0</v>
      </c>
      <c r="T148" s="135">
        <f t="shared" si="74"/>
        <v>0</v>
      </c>
    </row>
    <row r="149" spans="1:20" customFormat="1" ht="15" customHeight="1">
      <c r="A149" s="53" t="str">
        <f t="shared" si="80"/>
        <v>1</v>
      </c>
      <c r="B149" s="51" t="s">
        <v>75</v>
      </c>
      <c r="C149" s="51" t="s">
        <v>730</v>
      </c>
      <c r="D149" s="205" t="s">
        <v>731</v>
      </c>
      <c r="E149" s="290" t="s">
        <v>113</v>
      </c>
      <c r="F149" s="50" t="s">
        <v>95</v>
      </c>
      <c r="G149" s="95"/>
      <c r="H149" s="100"/>
      <c r="I149" s="80" t="str">
        <f t="shared" si="75"/>
        <v>---</v>
      </c>
      <c r="J149" s="80" t="str">
        <f t="shared" si="69"/>
        <v>---</v>
      </c>
      <c r="K149" s="50" t="str">
        <f t="shared" si="76"/>
        <v>---</v>
      </c>
      <c r="L149" s="81" t="str">
        <f t="shared" si="77"/>
        <v>---</v>
      </c>
      <c r="M149" s="42" t="str">
        <f t="shared" si="78"/>
        <v>offen</v>
      </c>
      <c r="N149" s="50"/>
      <c r="O149" s="44"/>
      <c r="P149" s="135">
        <f t="shared" si="70"/>
        <v>1</v>
      </c>
      <c r="Q149" s="135">
        <f t="shared" si="71"/>
        <v>0</v>
      </c>
      <c r="R149" s="135">
        <f t="shared" si="72"/>
        <v>0</v>
      </c>
      <c r="S149" s="135">
        <f t="shared" si="73"/>
        <v>0</v>
      </c>
      <c r="T149" s="135">
        <f t="shared" si="74"/>
        <v>0</v>
      </c>
    </row>
    <row r="150" spans="1:20" customFormat="1" ht="14.4">
      <c r="A150" s="53" t="str">
        <f t="shared" si="80"/>
        <v>1</v>
      </c>
      <c r="B150" s="51" t="s">
        <v>94</v>
      </c>
      <c r="C150" s="51" t="s">
        <v>732</v>
      </c>
      <c r="D150" s="205" t="s">
        <v>733</v>
      </c>
      <c r="E150" s="290" t="s">
        <v>113</v>
      </c>
      <c r="F150" s="50" t="s">
        <v>95</v>
      </c>
      <c r="G150" s="95"/>
      <c r="H150" s="100"/>
      <c r="I150" s="80">
        <f t="shared" si="75"/>
        <v>1</v>
      </c>
      <c r="J150" s="80">
        <f t="shared" si="69"/>
        <v>1</v>
      </c>
      <c r="K150" s="50">
        <f t="shared" si="76"/>
        <v>0</v>
      </c>
      <c r="L150" s="81">
        <f t="shared" si="77"/>
        <v>0</v>
      </c>
      <c r="M150" s="42" t="str">
        <f t="shared" si="78"/>
        <v>offen</v>
      </c>
      <c r="N150" s="50"/>
      <c r="O150" s="44">
        <v>1</v>
      </c>
      <c r="P150" s="135">
        <f t="shared" si="70"/>
        <v>0</v>
      </c>
      <c r="Q150" s="135">
        <f t="shared" si="71"/>
        <v>0</v>
      </c>
      <c r="R150" s="135">
        <f t="shared" si="72"/>
        <v>1</v>
      </c>
      <c r="S150" s="135">
        <f t="shared" si="73"/>
        <v>0</v>
      </c>
      <c r="T150" s="135">
        <f t="shared" si="74"/>
        <v>0</v>
      </c>
    </row>
    <row r="151" spans="1:20" customFormat="1" ht="14.4">
      <c r="A151" s="53" t="str">
        <f t="shared" si="80"/>
        <v>1</v>
      </c>
      <c r="B151" s="51" t="s">
        <v>94</v>
      </c>
      <c r="C151" s="51" t="s">
        <v>734</v>
      </c>
      <c r="D151" s="205" t="s">
        <v>735</v>
      </c>
      <c r="E151" s="290" t="s">
        <v>113</v>
      </c>
      <c r="F151" s="50" t="s">
        <v>95</v>
      </c>
      <c r="G151" s="95"/>
      <c r="H151" s="100"/>
      <c r="I151" s="80">
        <f t="shared" si="75"/>
        <v>1</v>
      </c>
      <c r="J151" s="80">
        <f t="shared" si="69"/>
        <v>1</v>
      </c>
      <c r="K151" s="50">
        <f t="shared" si="76"/>
        <v>0</v>
      </c>
      <c r="L151" s="81">
        <f t="shared" si="77"/>
        <v>0</v>
      </c>
      <c r="M151" s="42" t="str">
        <f t="shared" si="78"/>
        <v>offen</v>
      </c>
      <c r="N151" s="50"/>
      <c r="O151" s="44">
        <v>1</v>
      </c>
      <c r="P151" s="135">
        <f t="shared" si="70"/>
        <v>0</v>
      </c>
      <c r="Q151" s="135">
        <f t="shared" si="71"/>
        <v>0</v>
      </c>
      <c r="R151" s="135">
        <f t="shared" si="72"/>
        <v>1</v>
      </c>
      <c r="S151" s="135">
        <f t="shared" si="73"/>
        <v>0</v>
      </c>
      <c r="T151" s="135">
        <f t="shared" si="74"/>
        <v>0</v>
      </c>
    </row>
    <row r="152" spans="1:20" customFormat="1" ht="14.4">
      <c r="A152" s="53" t="str">
        <f t="shared" si="80"/>
        <v>1</v>
      </c>
      <c r="B152" s="51" t="s">
        <v>94</v>
      </c>
      <c r="C152" s="51" t="s">
        <v>736</v>
      </c>
      <c r="D152" s="205" t="s">
        <v>737</v>
      </c>
      <c r="E152" s="290" t="s">
        <v>113</v>
      </c>
      <c r="F152" s="50" t="s">
        <v>95</v>
      </c>
      <c r="G152" s="95"/>
      <c r="H152" s="100"/>
      <c r="I152" s="80">
        <f t="shared" si="75"/>
        <v>1</v>
      </c>
      <c r="J152" s="80">
        <f t="shared" si="69"/>
        <v>1</v>
      </c>
      <c r="K152" s="50">
        <f t="shared" si="76"/>
        <v>0</v>
      </c>
      <c r="L152" s="81">
        <f t="shared" si="77"/>
        <v>0</v>
      </c>
      <c r="M152" s="42" t="str">
        <f t="shared" si="78"/>
        <v>offen</v>
      </c>
      <c r="N152" s="50"/>
      <c r="O152" s="44">
        <v>1</v>
      </c>
      <c r="P152" s="135">
        <f t="shared" si="70"/>
        <v>0</v>
      </c>
      <c r="Q152" s="135">
        <f t="shared" si="71"/>
        <v>0</v>
      </c>
      <c r="R152" s="135">
        <f t="shared" si="72"/>
        <v>1</v>
      </c>
      <c r="S152" s="135">
        <f t="shared" si="73"/>
        <v>0</v>
      </c>
      <c r="T152" s="135">
        <f t="shared" si="74"/>
        <v>0</v>
      </c>
    </row>
    <row r="153" spans="1:20" customFormat="1" ht="14.4">
      <c r="A153" s="53" t="str">
        <f t="shared" si="80"/>
        <v>1</v>
      </c>
      <c r="B153" s="51" t="s">
        <v>94</v>
      </c>
      <c r="C153" s="51" t="s">
        <v>738</v>
      </c>
      <c r="D153" s="205" t="s">
        <v>739</v>
      </c>
      <c r="E153" s="290" t="s">
        <v>113</v>
      </c>
      <c r="F153" s="50" t="s">
        <v>95</v>
      </c>
      <c r="G153" s="95"/>
      <c r="H153" s="100"/>
      <c r="I153" s="80">
        <f t="shared" si="75"/>
        <v>1</v>
      </c>
      <c r="J153" s="80">
        <f t="shared" si="69"/>
        <v>1</v>
      </c>
      <c r="K153" s="50">
        <f t="shared" si="76"/>
        <v>0</v>
      </c>
      <c r="L153" s="81">
        <f t="shared" si="77"/>
        <v>0</v>
      </c>
      <c r="M153" s="42" t="str">
        <f t="shared" si="78"/>
        <v>offen</v>
      </c>
      <c r="N153" s="50"/>
      <c r="O153" s="44">
        <v>1</v>
      </c>
      <c r="P153" s="135">
        <f t="shared" si="70"/>
        <v>0</v>
      </c>
      <c r="Q153" s="135">
        <f t="shared" si="71"/>
        <v>0</v>
      </c>
      <c r="R153" s="135">
        <f t="shared" si="72"/>
        <v>1</v>
      </c>
      <c r="S153" s="135">
        <f t="shared" si="73"/>
        <v>0</v>
      </c>
      <c r="T153" s="135">
        <f t="shared" si="74"/>
        <v>0</v>
      </c>
    </row>
    <row r="154" spans="1:20" customFormat="1" ht="14.4">
      <c r="A154" s="53" t="str">
        <f t="shared" si="80"/>
        <v>1</v>
      </c>
      <c r="B154" s="51" t="s">
        <v>94</v>
      </c>
      <c r="C154" s="51" t="s">
        <v>740</v>
      </c>
      <c r="D154" s="205" t="s">
        <v>741</v>
      </c>
      <c r="E154" s="290" t="s">
        <v>113</v>
      </c>
      <c r="F154" s="50" t="s">
        <v>95</v>
      </c>
      <c r="G154" s="95"/>
      <c r="H154" s="100"/>
      <c r="I154" s="80">
        <f t="shared" si="75"/>
        <v>1</v>
      </c>
      <c r="J154" s="80">
        <f t="shared" si="69"/>
        <v>1</v>
      </c>
      <c r="K154" s="50">
        <f t="shared" si="76"/>
        <v>0</v>
      </c>
      <c r="L154" s="81">
        <f t="shared" si="77"/>
        <v>0</v>
      </c>
      <c r="M154" s="42" t="str">
        <f t="shared" si="78"/>
        <v>offen</v>
      </c>
      <c r="N154" s="50"/>
      <c r="O154" s="44">
        <v>1</v>
      </c>
      <c r="P154" s="135">
        <f t="shared" si="70"/>
        <v>0</v>
      </c>
      <c r="Q154" s="135">
        <f t="shared" si="71"/>
        <v>0</v>
      </c>
      <c r="R154" s="135">
        <f t="shared" si="72"/>
        <v>1</v>
      </c>
      <c r="S154" s="135">
        <f t="shared" si="73"/>
        <v>0</v>
      </c>
      <c r="T154" s="135">
        <f t="shared" si="74"/>
        <v>0</v>
      </c>
    </row>
    <row r="155" spans="1:20" customFormat="1" ht="14.4">
      <c r="A155" s="53" t="str">
        <f t="shared" si="80"/>
        <v>1</v>
      </c>
      <c r="B155" s="51" t="s">
        <v>94</v>
      </c>
      <c r="C155" s="51" t="s">
        <v>742</v>
      </c>
      <c r="D155" s="205" t="s">
        <v>743</v>
      </c>
      <c r="E155" s="290" t="s">
        <v>113</v>
      </c>
      <c r="F155" s="50" t="s">
        <v>95</v>
      </c>
      <c r="G155" s="95"/>
      <c r="H155" s="100"/>
      <c r="I155" s="80">
        <f t="shared" si="75"/>
        <v>1</v>
      </c>
      <c r="J155" s="80">
        <f t="shared" si="69"/>
        <v>1</v>
      </c>
      <c r="K155" s="50">
        <f t="shared" si="76"/>
        <v>0</v>
      </c>
      <c r="L155" s="81">
        <f t="shared" si="77"/>
        <v>0</v>
      </c>
      <c r="M155" s="42" t="str">
        <f t="shared" si="78"/>
        <v>offen</v>
      </c>
      <c r="N155" s="50"/>
      <c r="O155" s="44">
        <v>1</v>
      </c>
      <c r="P155" s="135">
        <f t="shared" si="70"/>
        <v>0</v>
      </c>
      <c r="Q155" s="135">
        <f t="shared" si="71"/>
        <v>0</v>
      </c>
      <c r="R155" s="135">
        <f t="shared" si="72"/>
        <v>1</v>
      </c>
      <c r="S155" s="135">
        <f t="shared" si="73"/>
        <v>0</v>
      </c>
      <c r="T155" s="135">
        <f t="shared" si="74"/>
        <v>0</v>
      </c>
    </row>
    <row r="156" spans="1:20" customFormat="1" ht="14.4">
      <c r="A156" s="53" t="str">
        <f t="shared" si="80"/>
        <v>1</v>
      </c>
      <c r="B156" s="51" t="s">
        <v>94</v>
      </c>
      <c r="C156" s="51" t="s">
        <v>744</v>
      </c>
      <c r="D156" s="205" t="s">
        <v>745</v>
      </c>
      <c r="E156" s="290" t="s">
        <v>113</v>
      </c>
      <c r="F156" s="50" t="s">
        <v>95</v>
      </c>
      <c r="G156" s="95"/>
      <c r="H156" s="100"/>
      <c r="I156" s="80">
        <f t="shared" si="75"/>
        <v>1</v>
      </c>
      <c r="J156" s="80">
        <f t="shared" si="69"/>
        <v>1</v>
      </c>
      <c r="K156" s="50">
        <f t="shared" si="76"/>
        <v>0</v>
      </c>
      <c r="L156" s="81">
        <f t="shared" si="77"/>
        <v>0</v>
      </c>
      <c r="M156" s="42" t="str">
        <f t="shared" si="78"/>
        <v>offen</v>
      </c>
      <c r="N156" s="50"/>
      <c r="O156" s="44">
        <v>1</v>
      </c>
      <c r="P156" s="135">
        <f t="shared" si="70"/>
        <v>0</v>
      </c>
      <c r="Q156" s="135">
        <f t="shared" si="71"/>
        <v>0</v>
      </c>
      <c r="R156" s="135">
        <f t="shared" si="72"/>
        <v>1</v>
      </c>
      <c r="S156" s="135">
        <f t="shared" si="73"/>
        <v>0</v>
      </c>
      <c r="T156" s="135">
        <f t="shared" si="74"/>
        <v>0</v>
      </c>
    </row>
    <row r="157" spans="1:20" customFormat="1" ht="14.4">
      <c r="A157" s="53" t="str">
        <f t="shared" si="80"/>
        <v>1</v>
      </c>
      <c r="B157" s="51" t="s">
        <v>94</v>
      </c>
      <c r="C157" s="51" t="s">
        <v>746</v>
      </c>
      <c r="D157" s="205" t="s">
        <v>747</v>
      </c>
      <c r="E157" s="290" t="s">
        <v>113</v>
      </c>
      <c r="F157" s="50" t="s">
        <v>95</v>
      </c>
      <c r="G157" s="95"/>
      <c r="H157" s="100"/>
      <c r="I157" s="80">
        <f t="shared" si="75"/>
        <v>1</v>
      </c>
      <c r="J157" s="80">
        <f t="shared" si="69"/>
        <v>1</v>
      </c>
      <c r="K157" s="50">
        <f t="shared" si="76"/>
        <v>0</v>
      </c>
      <c r="L157" s="81">
        <f t="shared" si="77"/>
        <v>0</v>
      </c>
      <c r="M157" s="42" t="str">
        <f t="shared" si="78"/>
        <v>offen</v>
      </c>
      <c r="N157" s="50"/>
      <c r="O157" s="44">
        <v>1</v>
      </c>
      <c r="P157" s="135">
        <f t="shared" si="70"/>
        <v>0</v>
      </c>
      <c r="Q157" s="135">
        <f t="shared" si="71"/>
        <v>0</v>
      </c>
      <c r="R157" s="135">
        <f t="shared" si="72"/>
        <v>1</v>
      </c>
      <c r="S157" s="135">
        <f t="shared" si="73"/>
        <v>0</v>
      </c>
      <c r="T157" s="135">
        <f t="shared" si="74"/>
        <v>0</v>
      </c>
    </row>
    <row r="158" spans="1:20" customFormat="1" ht="26.4">
      <c r="A158" s="53" t="str">
        <f t="shared" si="80"/>
        <v>1</v>
      </c>
      <c r="B158" s="51" t="s">
        <v>94</v>
      </c>
      <c r="C158" s="51" t="s">
        <v>748</v>
      </c>
      <c r="D158" s="205" t="s">
        <v>749</v>
      </c>
      <c r="E158" s="290" t="s">
        <v>113</v>
      </c>
      <c r="F158" s="50" t="s">
        <v>95</v>
      </c>
      <c r="G158" s="95"/>
      <c r="H158" s="100"/>
      <c r="I158" s="80">
        <f t="shared" si="75"/>
        <v>1</v>
      </c>
      <c r="J158" s="80">
        <f t="shared" si="69"/>
        <v>1</v>
      </c>
      <c r="K158" s="50">
        <f t="shared" si="76"/>
        <v>0</v>
      </c>
      <c r="L158" s="81">
        <f t="shared" si="77"/>
        <v>0</v>
      </c>
      <c r="M158" s="42" t="str">
        <f t="shared" si="78"/>
        <v>offen</v>
      </c>
      <c r="N158" s="50"/>
      <c r="O158" s="44">
        <v>1</v>
      </c>
      <c r="P158" s="135">
        <f t="shared" si="70"/>
        <v>0</v>
      </c>
      <c r="Q158" s="135">
        <f t="shared" si="71"/>
        <v>0</v>
      </c>
      <c r="R158" s="135">
        <f t="shared" si="72"/>
        <v>1</v>
      </c>
      <c r="S158" s="135">
        <f t="shared" si="73"/>
        <v>0</v>
      </c>
      <c r="T158" s="135">
        <f t="shared" si="74"/>
        <v>0</v>
      </c>
    </row>
    <row r="159" spans="1:20" customFormat="1" ht="14.4">
      <c r="A159" s="53" t="str">
        <f t="shared" si="80"/>
        <v>1</v>
      </c>
      <c r="B159" s="51" t="s">
        <v>94</v>
      </c>
      <c r="C159" s="51" t="s">
        <v>750</v>
      </c>
      <c r="D159" s="205" t="s">
        <v>751</v>
      </c>
      <c r="E159" s="290" t="s">
        <v>113</v>
      </c>
      <c r="F159" s="50" t="s">
        <v>95</v>
      </c>
      <c r="G159" s="95"/>
      <c r="H159" s="100"/>
      <c r="I159" s="80">
        <f t="shared" si="75"/>
        <v>1</v>
      </c>
      <c r="J159" s="80">
        <f t="shared" si="69"/>
        <v>1</v>
      </c>
      <c r="K159" s="50">
        <f t="shared" si="76"/>
        <v>0</v>
      </c>
      <c r="L159" s="81">
        <f t="shared" si="77"/>
        <v>0</v>
      </c>
      <c r="M159" s="42" t="str">
        <f t="shared" si="78"/>
        <v>offen</v>
      </c>
      <c r="N159" s="50"/>
      <c r="O159" s="44">
        <v>1</v>
      </c>
      <c r="P159" s="135">
        <f t="shared" si="70"/>
        <v>0</v>
      </c>
      <c r="Q159" s="135">
        <f t="shared" si="71"/>
        <v>0</v>
      </c>
      <c r="R159" s="135">
        <f t="shared" si="72"/>
        <v>1</v>
      </c>
      <c r="S159" s="135">
        <f t="shared" si="73"/>
        <v>0</v>
      </c>
      <c r="T159" s="135">
        <f t="shared" si="74"/>
        <v>0</v>
      </c>
    </row>
    <row r="160" spans="1:20" customFormat="1" ht="14.4">
      <c r="A160" s="53" t="str">
        <f t="shared" si="80"/>
        <v>1</v>
      </c>
      <c r="B160" s="51" t="s">
        <v>94</v>
      </c>
      <c r="C160" s="51" t="s">
        <v>752</v>
      </c>
      <c r="D160" s="205" t="s">
        <v>753</v>
      </c>
      <c r="E160" s="290" t="s">
        <v>113</v>
      </c>
      <c r="F160" s="50" t="s">
        <v>95</v>
      </c>
      <c r="G160" s="95"/>
      <c r="H160" s="100"/>
      <c r="I160" s="80">
        <f t="shared" si="75"/>
        <v>1</v>
      </c>
      <c r="J160" s="80">
        <f t="shared" si="69"/>
        <v>1</v>
      </c>
      <c r="K160" s="50">
        <f t="shared" si="76"/>
        <v>0</v>
      </c>
      <c r="L160" s="81">
        <f t="shared" si="77"/>
        <v>0</v>
      </c>
      <c r="M160" s="42" t="str">
        <f t="shared" si="78"/>
        <v>offen</v>
      </c>
      <c r="N160" s="50"/>
      <c r="O160" s="44">
        <v>1</v>
      </c>
      <c r="P160" s="135">
        <f t="shared" si="70"/>
        <v>0</v>
      </c>
      <c r="Q160" s="135">
        <f t="shared" si="71"/>
        <v>0</v>
      </c>
      <c r="R160" s="135">
        <f t="shared" si="72"/>
        <v>1</v>
      </c>
      <c r="S160" s="135">
        <f t="shared" si="73"/>
        <v>0</v>
      </c>
      <c r="T160" s="135">
        <f t="shared" si="74"/>
        <v>0</v>
      </c>
    </row>
    <row r="161" spans="1:20" customFormat="1" ht="26.4">
      <c r="A161" s="53" t="str">
        <f t="shared" si="80"/>
        <v>1</v>
      </c>
      <c r="B161" s="51" t="s">
        <v>94</v>
      </c>
      <c r="C161" s="51" t="s">
        <v>754</v>
      </c>
      <c r="D161" s="205" t="s">
        <v>755</v>
      </c>
      <c r="E161" s="290" t="s">
        <v>113</v>
      </c>
      <c r="F161" s="50" t="s">
        <v>95</v>
      </c>
      <c r="G161" s="95"/>
      <c r="H161" s="100"/>
      <c r="I161" s="80">
        <f t="shared" si="75"/>
        <v>1</v>
      </c>
      <c r="J161" s="80">
        <f t="shared" si="69"/>
        <v>1</v>
      </c>
      <c r="K161" s="50">
        <f t="shared" si="76"/>
        <v>0</v>
      </c>
      <c r="L161" s="81">
        <f t="shared" si="77"/>
        <v>0</v>
      </c>
      <c r="M161" s="42" t="str">
        <f t="shared" si="78"/>
        <v>offen</v>
      </c>
      <c r="N161" s="50"/>
      <c r="O161" s="44">
        <v>1</v>
      </c>
      <c r="P161" s="135">
        <f t="shared" si="70"/>
        <v>0</v>
      </c>
      <c r="Q161" s="135">
        <f t="shared" si="71"/>
        <v>0</v>
      </c>
      <c r="R161" s="135">
        <f t="shared" si="72"/>
        <v>1</v>
      </c>
      <c r="S161" s="135">
        <f t="shared" si="73"/>
        <v>0</v>
      </c>
      <c r="T161" s="135">
        <f t="shared" si="74"/>
        <v>0</v>
      </c>
    </row>
    <row r="162" spans="1:20" customFormat="1" ht="14.4">
      <c r="A162" s="53" t="str">
        <f t="shared" si="80"/>
        <v>1</v>
      </c>
      <c r="B162" s="51" t="s">
        <v>94</v>
      </c>
      <c r="C162" s="51" t="s">
        <v>756</v>
      </c>
      <c r="D162" s="205" t="s">
        <v>757</v>
      </c>
      <c r="E162" s="290" t="s">
        <v>113</v>
      </c>
      <c r="F162" s="50" t="s">
        <v>95</v>
      </c>
      <c r="G162" s="95"/>
      <c r="H162" s="100"/>
      <c r="I162" s="80">
        <f t="shared" si="75"/>
        <v>1</v>
      </c>
      <c r="J162" s="80">
        <f t="shared" si="69"/>
        <v>1</v>
      </c>
      <c r="K162" s="50">
        <f t="shared" si="76"/>
        <v>0</v>
      </c>
      <c r="L162" s="81">
        <f t="shared" si="77"/>
        <v>0</v>
      </c>
      <c r="M162" s="42" t="str">
        <f t="shared" si="78"/>
        <v>offen</v>
      </c>
      <c r="N162" s="50"/>
      <c r="O162" s="44">
        <v>1</v>
      </c>
      <c r="P162" s="135">
        <f t="shared" si="70"/>
        <v>0</v>
      </c>
      <c r="Q162" s="135">
        <f t="shared" si="71"/>
        <v>0</v>
      </c>
      <c r="R162" s="135">
        <f t="shared" si="72"/>
        <v>1</v>
      </c>
      <c r="S162" s="135">
        <f t="shared" si="73"/>
        <v>0</v>
      </c>
      <c r="T162" s="135">
        <f t="shared" si="74"/>
        <v>0</v>
      </c>
    </row>
    <row r="163" spans="1:20" customFormat="1" ht="14.4">
      <c r="A163" s="53" t="str">
        <f t="shared" si="80"/>
        <v>1</v>
      </c>
      <c r="B163" s="51" t="s">
        <v>94</v>
      </c>
      <c r="C163" s="51" t="s">
        <v>758</v>
      </c>
      <c r="D163" s="267" t="s">
        <v>759</v>
      </c>
      <c r="E163" s="290" t="s">
        <v>113</v>
      </c>
      <c r="F163" s="50" t="s">
        <v>95</v>
      </c>
      <c r="G163" s="95"/>
      <c r="H163" s="100"/>
      <c r="I163" s="80">
        <f t="shared" si="75"/>
        <v>1</v>
      </c>
      <c r="J163" s="80">
        <f t="shared" si="69"/>
        <v>1</v>
      </c>
      <c r="K163" s="50">
        <f t="shared" si="76"/>
        <v>0</v>
      </c>
      <c r="L163" s="81">
        <f t="shared" si="77"/>
        <v>0</v>
      </c>
      <c r="M163" s="42" t="str">
        <f t="shared" si="78"/>
        <v>offen</v>
      </c>
      <c r="N163" s="50"/>
      <c r="O163" s="44">
        <v>1</v>
      </c>
      <c r="P163" s="135">
        <f t="shared" si="70"/>
        <v>0</v>
      </c>
      <c r="Q163" s="135">
        <f t="shared" si="71"/>
        <v>0</v>
      </c>
      <c r="R163" s="135">
        <f t="shared" si="72"/>
        <v>1</v>
      </c>
      <c r="S163" s="135">
        <f t="shared" si="73"/>
        <v>0</v>
      </c>
      <c r="T163" s="135">
        <f t="shared" si="74"/>
        <v>0</v>
      </c>
    </row>
    <row r="164" spans="1:20" customFormat="1" ht="14.4">
      <c r="A164" s="53" t="str">
        <f t="shared" si="80"/>
        <v>1</v>
      </c>
      <c r="B164" s="51" t="s">
        <v>94</v>
      </c>
      <c r="C164" s="51" t="s">
        <v>760</v>
      </c>
      <c r="D164" s="267" t="s">
        <v>761</v>
      </c>
      <c r="E164" s="290" t="s">
        <v>113</v>
      </c>
      <c r="F164" s="50" t="s">
        <v>95</v>
      </c>
      <c r="G164" s="95"/>
      <c r="H164" s="100"/>
      <c r="I164" s="80">
        <f t="shared" si="75"/>
        <v>1</v>
      </c>
      <c r="J164" s="80">
        <f t="shared" si="69"/>
        <v>1</v>
      </c>
      <c r="K164" s="50">
        <f t="shared" si="76"/>
        <v>0</v>
      </c>
      <c r="L164" s="81">
        <f t="shared" si="77"/>
        <v>0</v>
      </c>
      <c r="M164" s="42" t="str">
        <f t="shared" si="78"/>
        <v>offen</v>
      </c>
      <c r="N164" s="50"/>
      <c r="O164" s="44">
        <v>1</v>
      </c>
      <c r="P164" s="135">
        <f t="shared" si="70"/>
        <v>0</v>
      </c>
      <c r="Q164" s="135">
        <f t="shared" si="71"/>
        <v>0</v>
      </c>
      <c r="R164" s="135">
        <f t="shared" si="72"/>
        <v>1</v>
      </c>
      <c r="S164" s="135">
        <f t="shared" si="73"/>
        <v>0</v>
      </c>
      <c r="T164" s="135">
        <f t="shared" si="74"/>
        <v>0</v>
      </c>
    </row>
    <row r="165" spans="1:20" customFormat="1" ht="14.4">
      <c r="A165" s="53" t="str">
        <f t="shared" si="80"/>
        <v>1</v>
      </c>
      <c r="B165" s="51" t="s">
        <v>94</v>
      </c>
      <c r="C165" s="51" t="s">
        <v>762</v>
      </c>
      <c r="D165" s="205" t="s">
        <v>763</v>
      </c>
      <c r="E165" s="290" t="s">
        <v>113</v>
      </c>
      <c r="F165" s="50" t="s">
        <v>95</v>
      </c>
      <c r="G165" s="95"/>
      <c r="H165" s="100"/>
      <c r="I165" s="80">
        <f t="shared" si="75"/>
        <v>1</v>
      </c>
      <c r="J165" s="80">
        <f t="shared" si="69"/>
        <v>1</v>
      </c>
      <c r="K165" s="50">
        <f t="shared" si="76"/>
        <v>0</v>
      </c>
      <c r="L165" s="81">
        <f t="shared" si="77"/>
        <v>0</v>
      </c>
      <c r="M165" s="42" t="str">
        <f t="shared" si="78"/>
        <v>offen</v>
      </c>
      <c r="N165" s="50"/>
      <c r="O165" s="44">
        <v>1</v>
      </c>
      <c r="P165" s="135">
        <f t="shared" ref="P165:P179" si="81">IF(AND($F165="Bieter/in",$B165="A-Kriterium",$M165=P$9),1,0)</f>
        <v>0</v>
      </c>
      <c r="Q165" s="135">
        <f t="shared" ref="Q165:Q179" si="82">IF(AND($F165="Auftragsgeber/in",$B165="A-Kriterium",$M165=Q$9),1,0)</f>
        <v>0</v>
      </c>
      <c r="R165" s="135">
        <f t="shared" ref="R165:R179" si="83">IF(AND($F165="Bieter/in",$B165="B-Kriterium",$M165=R$9),1,0)</f>
        <v>1</v>
      </c>
      <c r="S165" s="135">
        <f t="shared" ref="S165:S179" si="84">IF(AND($F165="Auftragsgeber/in",$B165="B-Kriterium",$M165=S$9),1,0)</f>
        <v>0</v>
      </c>
      <c r="T165" s="135">
        <f t="shared" si="74"/>
        <v>0</v>
      </c>
    </row>
    <row r="166" spans="1:20" customFormat="1" ht="14.4">
      <c r="A166" s="53" t="str">
        <f t="shared" si="80"/>
        <v>1</v>
      </c>
      <c r="B166" s="51" t="s">
        <v>94</v>
      </c>
      <c r="C166" s="51" t="s">
        <v>764</v>
      </c>
      <c r="D166" s="205" t="s">
        <v>765</v>
      </c>
      <c r="E166" s="290" t="s">
        <v>113</v>
      </c>
      <c r="F166" s="50" t="s">
        <v>95</v>
      </c>
      <c r="G166" s="95"/>
      <c r="H166" s="100"/>
      <c r="I166" s="80">
        <f t="shared" si="75"/>
        <v>1</v>
      </c>
      <c r="J166" s="80">
        <f t="shared" si="69"/>
        <v>1</v>
      </c>
      <c r="K166" s="50">
        <f t="shared" si="76"/>
        <v>0</v>
      </c>
      <c r="L166" s="81">
        <f t="shared" si="77"/>
        <v>0</v>
      </c>
      <c r="M166" s="42" t="str">
        <f t="shared" si="78"/>
        <v>offen</v>
      </c>
      <c r="N166" s="50"/>
      <c r="O166" s="44">
        <v>1</v>
      </c>
      <c r="P166" s="135">
        <f t="shared" si="81"/>
        <v>0</v>
      </c>
      <c r="Q166" s="135">
        <f t="shared" si="82"/>
        <v>0</v>
      </c>
      <c r="R166" s="135">
        <f t="shared" si="83"/>
        <v>1</v>
      </c>
      <c r="S166" s="135">
        <f t="shared" si="84"/>
        <v>0</v>
      </c>
      <c r="T166" s="135">
        <f t="shared" si="74"/>
        <v>0</v>
      </c>
    </row>
    <row r="167" spans="1:20" customFormat="1" ht="14.4">
      <c r="A167" s="53" t="str">
        <f t="shared" si="80"/>
        <v>1</v>
      </c>
      <c r="B167" s="51" t="s">
        <v>94</v>
      </c>
      <c r="C167" s="51" t="s">
        <v>766</v>
      </c>
      <c r="D167" s="205" t="s">
        <v>767</v>
      </c>
      <c r="E167" s="290" t="s">
        <v>113</v>
      </c>
      <c r="F167" s="50" t="s">
        <v>95</v>
      </c>
      <c r="G167" s="95"/>
      <c r="H167" s="100"/>
      <c r="I167" s="80">
        <f t="shared" si="75"/>
        <v>1</v>
      </c>
      <c r="J167" s="80">
        <f t="shared" si="69"/>
        <v>1</v>
      </c>
      <c r="K167" s="50">
        <f t="shared" si="76"/>
        <v>0</v>
      </c>
      <c r="L167" s="81">
        <f t="shared" si="77"/>
        <v>0</v>
      </c>
      <c r="M167" s="42" t="str">
        <f t="shared" si="78"/>
        <v>offen</v>
      </c>
      <c r="N167" s="50"/>
      <c r="O167" s="44">
        <v>1</v>
      </c>
      <c r="P167" s="135">
        <f t="shared" si="81"/>
        <v>0</v>
      </c>
      <c r="Q167" s="135">
        <f t="shared" si="82"/>
        <v>0</v>
      </c>
      <c r="R167" s="135">
        <f t="shared" si="83"/>
        <v>1</v>
      </c>
      <c r="S167" s="135">
        <f t="shared" si="84"/>
        <v>0</v>
      </c>
      <c r="T167" s="135">
        <f t="shared" si="74"/>
        <v>0</v>
      </c>
    </row>
    <row r="168" spans="1:20" customFormat="1" ht="14.4">
      <c r="A168" s="53" t="str">
        <f t="shared" si="80"/>
        <v>1</v>
      </c>
      <c r="B168" s="51" t="s">
        <v>94</v>
      </c>
      <c r="C168" s="51" t="s">
        <v>768</v>
      </c>
      <c r="D168" s="205" t="s">
        <v>769</v>
      </c>
      <c r="E168" s="290" t="s">
        <v>113</v>
      </c>
      <c r="F168" s="50" t="s">
        <v>95</v>
      </c>
      <c r="G168" s="95"/>
      <c r="H168" s="100"/>
      <c r="I168" s="80">
        <f t="shared" si="75"/>
        <v>1</v>
      </c>
      <c r="J168" s="80">
        <f t="shared" si="69"/>
        <v>1</v>
      </c>
      <c r="K168" s="50">
        <f t="shared" si="76"/>
        <v>0</v>
      </c>
      <c r="L168" s="81">
        <f t="shared" si="77"/>
        <v>0</v>
      </c>
      <c r="M168" s="42" t="str">
        <f t="shared" si="78"/>
        <v>offen</v>
      </c>
      <c r="N168" s="50"/>
      <c r="O168" s="44">
        <v>1</v>
      </c>
      <c r="P168" s="135">
        <f t="shared" si="81"/>
        <v>0</v>
      </c>
      <c r="Q168" s="135">
        <f t="shared" si="82"/>
        <v>0</v>
      </c>
      <c r="R168" s="135">
        <f t="shared" si="83"/>
        <v>1</v>
      </c>
      <c r="S168" s="135">
        <f t="shared" si="84"/>
        <v>0</v>
      </c>
      <c r="T168" s="135">
        <f t="shared" si="74"/>
        <v>0</v>
      </c>
    </row>
    <row r="169" spans="1:20" customFormat="1" ht="14.4">
      <c r="A169" s="51" t="str">
        <f t="shared" si="80"/>
        <v>1</v>
      </c>
      <c r="B169" s="51" t="s">
        <v>94</v>
      </c>
      <c r="C169" s="205" t="s">
        <v>770</v>
      </c>
      <c r="D169" s="205" t="s">
        <v>771</v>
      </c>
      <c r="E169" s="50" t="s">
        <v>113</v>
      </c>
      <c r="F169" s="50" t="s">
        <v>95</v>
      </c>
      <c r="G169" s="100"/>
      <c r="H169" s="100"/>
      <c r="I169" s="80">
        <f t="shared" ref="I169:I170" si="85">IF(B169="","",IF(B169="B-Kriterium",1,"---"))</f>
        <v>1</v>
      </c>
      <c r="J169" s="80">
        <f t="shared" ref="J169:J170" si="86">IF(B169="","",IF(B169="A-Kriterium","---",O169))</f>
        <v>1</v>
      </c>
      <c r="K169" s="50">
        <f t="shared" ref="K169:K170" si="87">IF($B169="A-Kriterium","---",IF(B169="","",IF(AND(B169="B-Kriterium",G169="ja"),J169,0)))</f>
        <v>0</v>
      </c>
      <c r="L169" s="81">
        <f t="shared" ref="L169:L170" si="88">IF(B169="A-Kriterium","---",IF(B169="","",I169*K169))</f>
        <v>0</v>
      </c>
      <c r="M169" s="42" t="str">
        <f t="shared" ref="M169:M170" si="89">IF(AND(ISBLANK(G169)=FALSE,B169="B-Kriterium"),"ok",IF($B169="","",IF(AND(B169="A-Kriterium",G169="ja"),"ok",IF(AND(B169="A-Kriterium",G169="nein"),"nok","offen"))))</f>
        <v>offen</v>
      </c>
      <c r="N169" s="50"/>
      <c r="O169" s="44">
        <v>1</v>
      </c>
      <c r="P169" s="135">
        <f t="shared" si="81"/>
        <v>0</v>
      </c>
      <c r="Q169" s="135">
        <f t="shared" si="82"/>
        <v>0</v>
      </c>
      <c r="R169" s="135">
        <f t="shared" si="83"/>
        <v>1</v>
      </c>
      <c r="S169" s="135">
        <f t="shared" si="84"/>
        <v>0</v>
      </c>
      <c r="T169" s="135">
        <f t="shared" si="74"/>
        <v>0</v>
      </c>
    </row>
    <row r="170" spans="1:20" customFormat="1" ht="14.4">
      <c r="A170" s="53" t="str">
        <f t="shared" si="80"/>
        <v>1</v>
      </c>
      <c r="B170" s="51" t="s">
        <v>94</v>
      </c>
      <c r="C170" s="205" t="s">
        <v>772</v>
      </c>
      <c r="D170" s="205" t="s">
        <v>773</v>
      </c>
      <c r="E170" s="50" t="s">
        <v>113</v>
      </c>
      <c r="F170" s="50" t="s">
        <v>95</v>
      </c>
      <c r="G170" s="100"/>
      <c r="H170" s="100"/>
      <c r="I170" s="80">
        <f t="shared" si="85"/>
        <v>1</v>
      </c>
      <c r="J170" s="80">
        <f t="shared" si="86"/>
        <v>1</v>
      </c>
      <c r="K170" s="50">
        <f t="shared" si="87"/>
        <v>0</v>
      </c>
      <c r="L170" s="81">
        <f t="shared" si="88"/>
        <v>0</v>
      </c>
      <c r="M170" s="42" t="str">
        <f t="shared" si="89"/>
        <v>offen</v>
      </c>
      <c r="N170" s="50"/>
      <c r="O170" s="44">
        <v>1</v>
      </c>
      <c r="P170" s="135">
        <f t="shared" si="81"/>
        <v>0</v>
      </c>
      <c r="Q170" s="135">
        <f t="shared" si="82"/>
        <v>0</v>
      </c>
      <c r="R170" s="135">
        <f t="shared" si="83"/>
        <v>1</v>
      </c>
      <c r="S170" s="135">
        <f t="shared" si="84"/>
        <v>0</v>
      </c>
      <c r="T170" s="135">
        <f t="shared" si="74"/>
        <v>0</v>
      </c>
    </row>
    <row r="171" spans="1:20" customFormat="1" ht="14.4">
      <c r="A171" s="53" t="str">
        <f t="shared" si="80"/>
        <v>1</v>
      </c>
      <c r="B171" s="51" t="s">
        <v>94</v>
      </c>
      <c r="C171" s="51" t="s">
        <v>774</v>
      </c>
      <c r="D171" s="205" t="s">
        <v>775</v>
      </c>
      <c r="E171" s="290" t="s">
        <v>113</v>
      </c>
      <c r="F171" s="50" t="s">
        <v>95</v>
      </c>
      <c r="G171" s="95"/>
      <c r="H171" s="100"/>
      <c r="I171" s="80">
        <f t="shared" si="75"/>
        <v>1</v>
      </c>
      <c r="J171" s="80">
        <f t="shared" si="69"/>
        <v>1</v>
      </c>
      <c r="K171" s="50">
        <f t="shared" si="76"/>
        <v>0</v>
      </c>
      <c r="L171" s="81">
        <f t="shared" si="77"/>
        <v>0</v>
      </c>
      <c r="M171" s="42" t="str">
        <f t="shared" si="78"/>
        <v>offen</v>
      </c>
      <c r="N171" s="50"/>
      <c r="O171" s="44">
        <v>1</v>
      </c>
      <c r="P171" s="135">
        <f t="shared" si="81"/>
        <v>0</v>
      </c>
      <c r="Q171" s="135">
        <f t="shared" si="82"/>
        <v>0</v>
      </c>
      <c r="R171" s="135">
        <f t="shared" si="83"/>
        <v>1</v>
      </c>
      <c r="S171" s="135">
        <f t="shared" si="84"/>
        <v>0</v>
      </c>
      <c r="T171" s="135">
        <f t="shared" si="74"/>
        <v>0</v>
      </c>
    </row>
    <row r="172" spans="1:20" customFormat="1" ht="14.4">
      <c r="A172" s="53" t="str">
        <f t="shared" si="80"/>
        <v>1</v>
      </c>
      <c r="B172" s="51" t="s">
        <v>94</v>
      </c>
      <c r="C172" s="51" t="s">
        <v>776</v>
      </c>
      <c r="D172" s="205" t="s">
        <v>777</v>
      </c>
      <c r="E172" s="290" t="s">
        <v>113</v>
      </c>
      <c r="F172" s="50" t="s">
        <v>95</v>
      </c>
      <c r="G172" s="95"/>
      <c r="H172" s="100"/>
      <c r="I172" s="80">
        <f t="shared" si="75"/>
        <v>1</v>
      </c>
      <c r="J172" s="80">
        <f t="shared" si="69"/>
        <v>1</v>
      </c>
      <c r="K172" s="50">
        <f t="shared" si="76"/>
        <v>0</v>
      </c>
      <c r="L172" s="81">
        <f t="shared" si="77"/>
        <v>0</v>
      </c>
      <c r="M172" s="42" t="str">
        <f t="shared" si="78"/>
        <v>offen</v>
      </c>
      <c r="N172" s="50"/>
      <c r="O172" s="44">
        <v>1</v>
      </c>
      <c r="P172" s="135">
        <f t="shared" si="81"/>
        <v>0</v>
      </c>
      <c r="Q172" s="135">
        <f t="shared" si="82"/>
        <v>0</v>
      </c>
      <c r="R172" s="135">
        <f t="shared" si="83"/>
        <v>1</v>
      </c>
      <c r="S172" s="135">
        <f t="shared" si="84"/>
        <v>0</v>
      </c>
      <c r="T172" s="135">
        <f t="shared" si="74"/>
        <v>0</v>
      </c>
    </row>
    <row r="173" spans="1:20" customFormat="1" ht="14.4">
      <c r="A173" s="53" t="str">
        <f t="shared" si="80"/>
        <v>1</v>
      </c>
      <c r="B173" s="51" t="s">
        <v>94</v>
      </c>
      <c r="C173" s="51" t="s">
        <v>778</v>
      </c>
      <c r="D173" s="205" t="s">
        <v>779</v>
      </c>
      <c r="E173" s="290" t="s">
        <v>113</v>
      </c>
      <c r="F173" s="50" t="s">
        <v>95</v>
      </c>
      <c r="G173" s="95"/>
      <c r="H173" s="100"/>
      <c r="I173" s="80">
        <f t="shared" si="75"/>
        <v>1</v>
      </c>
      <c r="J173" s="80">
        <f t="shared" si="69"/>
        <v>1</v>
      </c>
      <c r="K173" s="50">
        <f t="shared" si="76"/>
        <v>0</v>
      </c>
      <c r="L173" s="81">
        <f t="shared" si="77"/>
        <v>0</v>
      </c>
      <c r="M173" s="42" t="str">
        <f t="shared" si="78"/>
        <v>offen</v>
      </c>
      <c r="N173" s="50"/>
      <c r="O173" s="44">
        <v>1</v>
      </c>
      <c r="P173" s="135">
        <f t="shared" si="81"/>
        <v>0</v>
      </c>
      <c r="Q173" s="135">
        <f t="shared" si="82"/>
        <v>0</v>
      </c>
      <c r="R173" s="135">
        <f t="shared" si="83"/>
        <v>1</v>
      </c>
      <c r="S173" s="135">
        <f t="shared" si="84"/>
        <v>0</v>
      </c>
      <c r="T173" s="135">
        <f t="shared" si="74"/>
        <v>0</v>
      </c>
    </row>
    <row r="174" spans="1:20" customFormat="1" ht="14.4">
      <c r="A174" s="53" t="str">
        <f t="shared" ref="A174:A179" si="90">IF(D174="","","1")</f>
        <v>1</v>
      </c>
      <c r="B174" s="51" t="s">
        <v>94</v>
      </c>
      <c r="C174" s="51" t="s">
        <v>780</v>
      </c>
      <c r="D174" s="205" t="s">
        <v>781</v>
      </c>
      <c r="E174" s="290" t="s">
        <v>113</v>
      </c>
      <c r="F174" s="50" t="s">
        <v>95</v>
      </c>
      <c r="G174" s="95"/>
      <c r="H174" s="100"/>
      <c r="I174" s="80">
        <f t="shared" si="75"/>
        <v>1</v>
      </c>
      <c r="J174" s="80">
        <f t="shared" si="69"/>
        <v>1</v>
      </c>
      <c r="K174" s="50">
        <f t="shared" si="76"/>
        <v>0</v>
      </c>
      <c r="L174" s="81">
        <f t="shared" si="77"/>
        <v>0</v>
      </c>
      <c r="M174" s="42" t="str">
        <f t="shared" si="78"/>
        <v>offen</v>
      </c>
      <c r="N174" s="50"/>
      <c r="O174" s="44">
        <v>1</v>
      </c>
      <c r="P174" s="135">
        <f t="shared" si="81"/>
        <v>0</v>
      </c>
      <c r="Q174" s="135">
        <f t="shared" si="82"/>
        <v>0</v>
      </c>
      <c r="R174" s="135">
        <f t="shared" si="83"/>
        <v>1</v>
      </c>
      <c r="S174" s="135">
        <f t="shared" si="84"/>
        <v>0</v>
      </c>
      <c r="T174" s="135">
        <f t="shared" si="74"/>
        <v>0</v>
      </c>
    </row>
    <row r="175" spans="1:20" customFormat="1" ht="14.4">
      <c r="A175" s="334" t="str">
        <f t="shared" si="90"/>
        <v/>
      </c>
      <c r="B175" s="51"/>
      <c r="C175" s="51"/>
      <c r="D175" s="267"/>
      <c r="E175" s="290"/>
      <c r="F175" s="50"/>
      <c r="G175" s="50"/>
      <c r="H175" s="50"/>
      <c r="I175" s="80" t="str">
        <f t="shared" si="75"/>
        <v/>
      </c>
      <c r="J175" s="80" t="str">
        <f t="shared" si="69"/>
        <v/>
      </c>
      <c r="K175" s="50" t="str">
        <f t="shared" si="76"/>
        <v/>
      </c>
      <c r="L175" s="81" t="str">
        <f t="shared" si="77"/>
        <v/>
      </c>
      <c r="M175" s="81" t="str">
        <f t="shared" si="78"/>
        <v/>
      </c>
      <c r="N175" s="50"/>
      <c r="O175" s="44"/>
      <c r="P175" s="135">
        <f t="shared" si="81"/>
        <v>0</v>
      </c>
      <c r="Q175" s="135">
        <f t="shared" si="82"/>
        <v>0</v>
      </c>
      <c r="R175" s="135">
        <f t="shared" si="83"/>
        <v>0</v>
      </c>
      <c r="S175" s="135">
        <f t="shared" si="84"/>
        <v>0</v>
      </c>
      <c r="T175" s="135">
        <f t="shared" si="74"/>
        <v>0</v>
      </c>
    </row>
    <row r="176" spans="1:20" customFormat="1" ht="14.4">
      <c r="A176" s="53" t="str">
        <f t="shared" si="90"/>
        <v>1</v>
      </c>
      <c r="B176" s="51"/>
      <c r="C176" s="128" t="s">
        <v>782</v>
      </c>
      <c r="D176" s="147" t="s">
        <v>783</v>
      </c>
      <c r="E176" s="290"/>
      <c r="F176" s="50"/>
      <c r="G176" s="316"/>
      <c r="H176" s="317"/>
      <c r="I176" s="80" t="str">
        <f t="shared" si="75"/>
        <v/>
      </c>
      <c r="J176" s="80" t="str">
        <f t="shared" si="69"/>
        <v/>
      </c>
      <c r="K176" s="50" t="str">
        <f t="shared" si="76"/>
        <v/>
      </c>
      <c r="L176" s="81" t="str">
        <f t="shared" si="77"/>
        <v/>
      </c>
      <c r="M176" s="42" t="str">
        <f t="shared" si="78"/>
        <v/>
      </c>
      <c r="N176" s="50"/>
      <c r="O176" s="44"/>
      <c r="P176" s="135">
        <f t="shared" si="81"/>
        <v>0</v>
      </c>
      <c r="Q176" s="135">
        <f t="shared" si="82"/>
        <v>0</v>
      </c>
      <c r="R176" s="135">
        <f t="shared" si="83"/>
        <v>0</v>
      </c>
      <c r="S176" s="135">
        <f t="shared" si="84"/>
        <v>0</v>
      </c>
      <c r="T176" s="135">
        <f t="shared" si="74"/>
        <v>0</v>
      </c>
    </row>
    <row r="177" spans="1:20" customFormat="1" ht="29.7" customHeight="1">
      <c r="A177" s="53" t="str">
        <f t="shared" si="90"/>
        <v>1</v>
      </c>
      <c r="B177" s="51" t="s">
        <v>94</v>
      </c>
      <c r="C177" s="51" t="s">
        <v>784</v>
      </c>
      <c r="D177" s="148" t="s">
        <v>785</v>
      </c>
      <c r="E177" s="290" t="s">
        <v>786</v>
      </c>
      <c r="F177" s="50" t="s">
        <v>95</v>
      </c>
      <c r="G177" s="95"/>
      <c r="H177" s="100"/>
      <c r="I177" s="80">
        <f t="shared" si="75"/>
        <v>1</v>
      </c>
      <c r="J177" s="80">
        <f t="shared" si="69"/>
        <v>5</v>
      </c>
      <c r="K177" s="50">
        <f t="shared" si="76"/>
        <v>0</v>
      </c>
      <c r="L177" s="81">
        <f t="shared" si="77"/>
        <v>0</v>
      </c>
      <c r="M177" s="42" t="str">
        <f t="shared" si="78"/>
        <v>offen</v>
      </c>
      <c r="N177" s="50"/>
      <c r="O177" s="44">
        <v>5</v>
      </c>
      <c r="P177" s="135">
        <f t="shared" si="81"/>
        <v>0</v>
      </c>
      <c r="Q177" s="135">
        <f t="shared" si="82"/>
        <v>0</v>
      </c>
      <c r="R177" s="135">
        <f t="shared" si="83"/>
        <v>1</v>
      </c>
      <c r="S177" s="135">
        <f t="shared" si="84"/>
        <v>0</v>
      </c>
      <c r="T177" s="135">
        <f t="shared" si="74"/>
        <v>0</v>
      </c>
    </row>
    <row r="178" spans="1:20" customFormat="1" ht="14.4">
      <c r="A178" s="53" t="str">
        <f t="shared" si="90"/>
        <v>1</v>
      </c>
      <c r="B178" s="51" t="s">
        <v>94</v>
      </c>
      <c r="C178" s="51" t="s">
        <v>787</v>
      </c>
      <c r="D178" s="148" t="s">
        <v>788</v>
      </c>
      <c r="E178" s="290" t="s">
        <v>113</v>
      </c>
      <c r="F178" s="50" t="s">
        <v>95</v>
      </c>
      <c r="G178" s="95"/>
      <c r="H178" s="100"/>
      <c r="I178" s="80">
        <f t="shared" si="75"/>
        <v>1</v>
      </c>
      <c r="J178" s="80">
        <f t="shared" si="69"/>
        <v>5</v>
      </c>
      <c r="K178" s="50">
        <f t="shared" si="76"/>
        <v>0</v>
      </c>
      <c r="L178" s="81">
        <f t="shared" si="77"/>
        <v>0</v>
      </c>
      <c r="M178" s="42" t="str">
        <f t="shared" si="78"/>
        <v>offen</v>
      </c>
      <c r="N178" s="50"/>
      <c r="O178" s="44">
        <v>5</v>
      </c>
      <c r="P178" s="135">
        <f t="shared" si="81"/>
        <v>0</v>
      </c>
      <c r="Q178" s="135">
        <f t="shared" si="82"/>
        <v>0</v>
      </c>
      <c r="R178" s="135">
        <f t="shared" si="83"/>
        <v>1</v>
      </c>
      <c r="S178" s="135">
        <f t="shared" si="84"/>
        <v>0</v>
      </c>
      <c r="T178" s="135">
        <f t="shared" si="74"/>
        <v>0</v>
      </c>
    </row>
    <row r="179" spans="1:20" customFormat="1" ht="14.4">
      <c r="A179" s="53" t="str">
        <f t="shared" si="90"/>
        <v>1</v>
      </c>
      <c r="B179" s="51" t="s">
        <v>94</v>
      </c>
      <c r="C179" s="51" t="s">
        <v>789</v>
      </c>
      <c r="D179" s="148" t="s">
        <v>790</v>
      </c>
      <c r="E179" s="290" t="s">
        <v>113</v>
      </c>
      <c r="F179" s="50" t="s">
        <v>95</v>
      </c>
      <c r="G179" s="95"/>
      <c r="H179" s="100"/>
      <c r="I179" s="80">
        <f t="shared" si="75"/>
        <v>1</v>
      </c>
      <c r="J179" s="80">
        <f t="shared" si="69"/>
        <v>5</v>
      </c>
      <c r="K179" s="50">
        <f t="shared" si="76"/>
        <v>0</v>
      </c>
      <c r="L179" s="81">
        <f t="shared" si="77"/>
        <v>0</v>
      </c>
      <c r="M179" s="42" t="str">
        <f t="shared" si="78"/>
        <v>offen</v>
      </c>
      <c r="N179" s="50"/>
      <c r="O179" s="44">
        <v>5</v>
      </c>
      <c r="P179" s="135">
        <f t="shared" si="81"/>
        <v>0</v>
      </c>
      <c r="Q179" s="135">
        <f t="shared" si="82"/>
        <v>0</v>
      </c>
      <c r="R179" s="135">
        <f t="shared" si="83"/>
        <v>1</v>
      </c>
      <c r="S179" s="135">
        <f t="shared" si="84"/>
        <v>0</v>
      </c>
      <c r="T179" s="135">
        <f t="shared" si="74"/>
        <v>0</v>
      </c>
    </row>
    <row r="180" spans="1:20" ht="14.4"/>
  </sheetData>
  <sheetProtection algorithmName="SHA-512" hashValue="PIXGYJjNxEAteI5NAzzmk/TyGK4CBQgVoeydmtronuaYvso4ghVt3QAkkcL2I2qxXuD66xaEGk7qcnX6TFrj6Q==" saltValue="8h8M3YRP7zANo2Tby1iPFg==" spinCount="100000" sheet="1" selectLockedCells="1" sort="0" autoFilter="0"/>
  <protectedRanges>
    <protectedRange sqref="A9:I9 L9:T9 D44:E49 E42:E43 B101:D102 B38:D39 B44:B49 N44:O49 N76:O80 N101:O102 N104:O105 N73:O74 N107:O109 N38:O39 N82 N72 O71:O72 N96:O99 G41:G43 B72:D74 E30:E40 G72:H74 G76:H80 B70:D70 G101:H102 B104:D105 G96:H99 G104:H105 G107:H109 G111:H114 G44:H49 G30:H35 G38:H38 N30:O36 D69 B76:D80 B96:D99 B107:D109 D141:E146 B147:E179 G117:H117 G119 E139:E140 F139:F179 G146:O179 O125 E117:F119 D56:E68 B51:E55 G51:H70 N51:O70 B56:C69 E115:M116 B111:D117 N111:O117 I117:M124 E120:G121 E122:F138 B11:O29 B30:D36 B82:D94 G82:H94 E69:E114 N83:O94 I30:M114 F30:F114 N126:O145 D125:D140 B125:B146 G125:M145 G122:G124" name="AllowSortFilter"/>
    <protectedRange sqref="J9:K9" name="AllowSortFilter_1"/>
    <protectedRange sqref="B10:O10 B71:D71 B75:D75 B81:D81 B95:D95 B100:D100 B106:D106 B110:D110 B40:D40 B42:B43 B41:E41 H41:H43 D42:D43 B37:D37 B50:E50 B103:D103 N71 N75:O75 N81 N95:O95 N100:O100 N106:O106 N110:O110 N40:O43 N37:O37 N50:O50 N103:O103 O81:O82 G95:H95 G71:H71 G75:H75 G81:H81 G100:H100 G103:H103 G106:H106 G110:H110 G50:H50 G36:H37 G39:H40 C42:C49 B122:B124 N118:O119 N122:O124 G118:H118 B118:D119 A120:D121 N125 D122:D124 N120:T121 A10:A119 P10:T119 A122:A179 P122:T179 C122:C146 H119:H124" name="AllowSortFilter_3"/>
  </protectedRanges>
  <autoFilter ref="A9:M179" xr:uid="{00000000-0009-0000-0000-00000B000000}"/>
  <mergeCells count="3">
    <mergeCell ref="B3:E3"/>
    <mergeCell ref="F3:I3"/>
    <mergeCell ref="J3:M3"/>
  </mergeCells>
  <phoneticPr fontId="5" type="noConversion"/>
  <conditionalFormatting sqref="A10:A179">
    <cfRule type="expression" dxfId="47" priority="76">
      <formula>$A10="1"</formula>
    </cfRule>
  </conditionalFormatting>
  <conditionalFormatting sqref="B10:O179 A169:N169">
    <cfRule type="expression" dxfId="46" priority="36">
      <formula>IF($C10="",0,1)+IF($B10="",0,1)=1</formula>
    </cfRule>
  </conditionalFormatting>
  <conditionalFormatting sqref="G10:H179">
    <cfRule type="expression" dxfId="45" priority="5">
      <formula>$B10="B-Kriterium"</formula>
    </cfRule>
    <cfRule type="expression" dxfId="44" priority="6">
      <formula>$B10="A-Kriterium"</formula>
    </cfRule>
  </conditionalFormatting>
  <conditionalFormatting sqref="M10:O12 N147:O175 M147:M179 L169:N169">
    <cfRule type="cellIs" dxfId="43" priority="22" operator="equal">
      <formula>"offen"</formula>
    </cfRule>
    <cfRule type="cellIs" dxfId="42" priority="23" operator="equal">
      <formula>"ok"</formula>
    </cfRule>
    <cfRule type="cellIs" dxfId="41" priority="24" operator="equal">
      <formula>"nok"</formula>
    </cfRule>
  </conditionalFormatting>
  <conditionalFormatting sqref="N13:O36 M13:M116 N50:O116 M117:O146 L170">
    <cfRule type="cellIs" dxfId="40" priority="1" operator="equal">
      <formula>"offen"</formula>
    </cfRule>
    <cfRule type="cellIs" dxfId="39" priority="2" operator="equal">
      <formula>"ok"</formula>
    </cfRule>
    <cfRule type="cellIs" dxfId="38" priority="3" operator="equal">
      <formula>"nok"</formula>
    </cfRule>
  </conditionalFormatting>
  <conditionalFormatting sqref="N37:O49 N176:O179">
    <cfRule type="cellIs" dxfId="37" priority="163" operator="equal">
      <formula>"offen"</formula>
    </cfRule>
    <cfRule type="cellIs" dxfId="36" priority="164" operator="equal">
      <formula>"ok"</formula>
    </cfRule>
    <cfRule type="cellIs" dxfId="35" priority="165" operator="equal">
      <formula>"nok"</formula>
    </cfRule>
  </conditionalFormatting>
  <conditionalFormatting sqref="O10:O179">
    <cfRule type="expression" dxfId="34" priority="19">
      <formula>$B10="B-Kriterium"</formula>
    </cfRule>
  </conditionalFormatting>
  <dataValidations count="4">
    <dataValidation type="list" allowBlank="1" showInputMessage="1" showErrorMessage="1" sqref="G107:G109 G104:G105 G101:G102 G41:G49 G72:G74 G119 G96:G99 G76:G80 G38 G51:G70 G111:G117 G11:G35 G82:G94 G122:G179" xr:uid="{BF159B7E-55E0-40AD-A435-5B0FD4E82161}">
      <formula1>"ja,nein"</formula1>
    </dataValidation>
    <dataValidation type="list" allowBlank="1" showInputMessage="1" showErrorMessage="1" sqref="G10 G118 G50 G36:G37 G39:G40 G103 G110 G106 G100 G95 G81 G75 G71" xr:uid="{4B273961-9A90-46CA-8052-56C45BDC0AC5}">
      <formula1>IF(O10="","",INDIRECT("tab_wertebereich_inhalt["&amp;O10&amp;"]"))</formula1>
    </dataValidation>
    <dataValidation type="list" allowBlank="1" showInputMessage="1" showErrorMessage="1" sqref="G120" xr:uid="{BC502277-A1A5-4B19-A2A8-CE5D2184D4C8}">
      <formula1>"&gt;300 Nachversorger (5 Pkt.),50-300 Nachversorger (1 Pkt.),&lt;50 Nachversorger (0 Pkt.)"</formula1>
    </dataValidation>
    <dataValidation type="list" allowBlank="1" showInputMessage="1" showErrorMessage="1" sqref="G121" xr:uid="{5131F032-4B7C-4B9D-8F39-48DAA3CBD360}">
      <formula1>"&gt;500 Nachversorger (5 Pkt.),250-500 Nachversorger (1 Pkt.),&lt;250 Nachversorger (0 Pkt.)"</formula1>
    </dataValidation>
  </dataValidations>
  <pageMargins left="0.7" right="0.7" top="0.78740157499999996" bottom="0.78740157499999996" header="0.3" footer="0.3"/>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0AC5005-219C-4005-84C9-7BB477238E63}">
          <x14:formula1>
            <xm:f>Tabelle1!$A$2:$A$3</xm:f>
          </x14:formula1>
          <xm:sqref>B10:B1048576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ce2b6d-916b-48f9-afca-21c04e75ac50">
      <Terms xmlns="http://schemas.microsoft.com/office/infopath/2007/PartnerControls"/>
    </lcf76f155ced4ddcb4097134ff3c332f>
    <TaxCatchAll xmlns="c0c64272-ad89-4dce-8b0c-2a79e1b88b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A9A72A9745385479BE8DF3246F7CAB9" ma:contentTypeVersion="11" ma:contentTypeDescription="Ein neues Dokument erstellen." ma:contentTypeScope="" ma:versionID="126fb460700691d84b77bd9ddd57948e">
  <xsd:schema xmlns:xsd="http://www.w3.org/2001/XMLSchema" xmlns:xs="http://www.w3.org/2001/XMLSchema" xmlns:p="http://schemas.microsoft.com/office/2006/metadata/properties" xmlns:ns2="fece2b6d-916b-48f9-afca-21c04e75ac50" xmlns:ns3="c0c64272-ad89-4dce-8b0c-2a79e1b88bf9" targetNamespace="http://schemas.microsoft.com/office/2006/metadata/properties" ma:root="true" ma:fieldsID="921e299390271750a323afb347acd918" ns2:_="" ns3:_="">
    <xsd:import namespace="fece2b6d-916b-48f9-afca-21c04e75ac50"/>
    <xsd:import namespace="c0c64272-ad89-4dce-8b0c-2a79e1b88b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e2b6d-916b-48f9-afca-21c04e75ac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1c9fe70c-0f89-4e18-9812-17c7a802ec4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64272-ad89-4dce-8b0c-2a79e1b88bf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2b2a61f-b66b-4fa7-bd3b-32c4743b0732}" ma:internalName="TaxCatchAll" ma:showField="CatchAllData" ma:web="c0c64272-ad89-4dce-8b0c-2a79e1b88b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74F3F-0B67-4B7B-BB26-40726622937F}">
  <ds:schemaRefs>
    <ds:schemaRef ds:uri="http://schemas.microsoft.com/office/2006/metadata/properties"/>
    <ds:schemaRef ds:uri="http://schemas.microsoft.com/office/infopath/2007/PartnerControls"/>
    <ds:schemaRef ds:uri="fece2b6d-916b-48f9-afca-21c04e75ac50"/>
    <ds:schemaRef ds:uri="c0c64272-ad89-4dce-8b0c-2a79e1b88bf9"/>
  </ds:schemaRefs>
</ds:datastoreItem>
</file>

<file path=customXml/itemProps2.xml><?xml version="1.0" encoding="utf-8"?>
<ds:datastoreItem xmlns:ds="http://schemas.openxmlformats.org/officeDocument/2006/customXml" ds:itemID="{67E720B5-FBAB-4BC3-9590-12B7F6667D99}">
  <ds:schemaRefs>
    <ds:schemaRef ds:uri="http://schemas.microsoft.com/sharepoint/v3/contenttype/forms"/>
  </ds:schemaRefs>
</ds:datastoreItem>
</file>

<file path=customXml/itemProps3.xml><?xml version="1.0" encoding="utf-8"?>
<ds:datastoreItem xmlns:ds="http://schemas.openxmlformats.org/officeDocument/2006/customXml" ds:itemID="{6FA26DAE-DDAD-4A84-84FD-7A24E0AA71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e2b6d-916b-48f9-afca-21c04e75ac50"/>
    <ds:schemaRef ds:uri="c0c64272-ad89-4dce-8b0c-2a79e1b88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Zuschlagserteilung</vt:lpstr>
      <vt:lpstr>Auswahlhilfe</vt:lpstr>
      <vt:lpstr>Inhalt &amp; Hinweise</vt:lpstr>
      <vt:lpstr>Allg. Bieterangaben</vt:lpstr>
      <vt:lpstr>Tabelle1</vt:lpstr>
      <vt:lpstr>01-KHZG Kriterien</vt:lpstr>
      <vt:lpstr>02-Generelle Anforderungen</vt:lpstr>
      <vt:lpstr>03-Basisfunktionalitäten</vt:lpstr>
      <vt:lpstr>04-Funktionale Anforderungen</vt:lpstr>
      <vt:lpstr>05-Datenschutz &amp; Informations.</vt:lpstr>
      <vt:lpstr>K - Konzepte</vt:lpstr>
      <vt:lpstr>B - Bieterpräsentation</vt:lpstr>
      <vt:lpstr>P - Preisblatt</vt:lpstr>
      <vt:lpstr>Auswertung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jakob.herbel@moysies.de</dc:creator>
  <cp:keywords/>
  <dc:description/>
  <cp:lastModifiedBy>Jakob Herbel</cp:lastModifiedBy>
  <cp:revision/>
  <dcterms:created xsi:type="dcterms:W3CDTF">2021-08-31T05:23:35Z</dcterms:created>
  <dcterms:modified xsi:type="dcterms:W3CDTF">2025-02-25T16:56:26Z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0x010100FA9A72A9745385479BE8DF3246F7CAB9</vt:lpwstr>
  </property>
  <property fmtid="{D5CDD505-2E9C-101B-9397-08002B2CF9AE}" pid="3" name="MediaServiceImageTags">
    <vt:lpwstr/>
  </property>
</Properties>
</file>