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7.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8.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9.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10.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11.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1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1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15.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1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7.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18.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9.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20.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21.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22.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23.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24.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25.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6.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27.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28.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29.xml" ContentType="application/vnd.openxmlformats-officedocument.drawing+xml"/>
  <Override PartName="/xl/ctrlProps/ctrlProp96.xml" ContentType="application/vnd.ms-excel.controlproperties+xml"/>
  <Override PartName="/xl/ctrlProps/ctrlProp97.xml" ContentType="application/vnd.ms-excel.controlproperties+xml"/>
  <Override PartName="/xl/drawings/drawing30.xml" ContentType="application/vnd.openxmlformats-officedocument.drawing+xml"/>
  <Override PartName="/xl/ctrlProps/ctrlProp98.xml" ContentType="application/vnd.ms-excel.controlproperties+xml"/>
  <Override PartName="/xl/drawings/drawing31.xml" ContentType="application/vnd.openxmlformats-officedocument.drawing+xml"/>
  <Override PartName="/xl/ctrlProps/ctrlProp99.xml" ContentType="application/vnd.ms-excel.controlproperties+xml"/>
  <Override PartName="/xl/ctrlProps/ctrlProp100.xml" ContentType="application/vnd.ms-excel.controlproperties+xml"/>
  <Override PartName="/xl/drawings/drawing32.xml" ContentType="application/vnd.openxmlformats-officedocument.drawing+xml"/>
  <Override PartName="/xl/ctrlProps/ctrlProp101.xml" ContentType="application/vnd.ms-excel.controlproperties+xml"/>
  <Override PartName="/xl/ctrlProps/ctrlProp102.xml" ContentType="application/vnd.ms-excel.controlproperties+xml"/>
  <Override PartName="/xl/drawings/drawing33.xml" ContentType="application/vnd.openxmlformats-officedocument.drawing+xml"/>
  <Override PartName="/xl/ctrlProps/ctrlProp103.xml" ContentType="application/vnd.ms-excel.controlproperties+xml"/>
  <Override PartName="/xl/ctrlProps/ctrlProp104.xml" ContentType="application/vnd.ms-excel.controlproperties+xml"/>
  <Override PartName="/xl/drawings/drawing34.xml" ContentType="application/vnd.openxmlformats-officedocument.drawing+xml"/>
  <Override PartName="/xl/ctrlProps/ctrlProp105.xml" ContentType="application/vnd.ms-excel.controlproperties+xml"/>
  <Override PartName="/xl/ctrlProps/ctrlProp106.xml" ContentType="application/vnd.ms-excel.controlproperties+xml"/>
  <Override PartName="/xl/drawings/drawing35.xml" ContentType="application/vnd.openxmlformats-officedocument.drawing+xml"/>
  <Override PartName="/xl/ctrlProps/ctrlProp107.xml" ContentType="application/vnd.ms-excel.controlproperties+xml"/>
  <Override PartName="/xl/ctrlProps/ctrlProp108.xml" ContentType="application/vnd.ms-excel.controlproperties+xml"/>
  <Override PartName="/xl/drawings/drawing36.xml" ContentType="application/vnd.openxmlformats-officedocument.drawing+xml"/>
  <Override PartName="/xl/ctrlProps/ctrlProp109.xml" ContentType="application/vnd.ms-excel.controlproperties+xml"/>
  <Override PartName="/xl/ctrlProps/ctrlProp110.xml" ContentType="application/vnd.ms-excel.controlproperties+xml"/>
  <Override PartName="/xl/drawings/drawing37.xml" ContentType="application/vnd.openxmlformats-officedocument.drawing+xml"/>
  <Override PartName="/xl/ctrlProps/ctrlProp1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never" codeName="DieseArbeitsmappe" defaultThemeVersion="124226"/>
  <mc:AlternateContent xmlns:mc="http://schemas.openxmlformats.org/markup-compatibility/2006">
    <mc:Choice Requires="x15">
      <x15ac:absPath xmlns:x15ac="http://schemas.microsoft.com/office/spreadsheetml/2010/11/ac" url="S:\Kunden\Harzgerode, Stadt\Reinigung 2025\4-Leistungsbeschreibungen\"/>
    </mc:Choice>
  </mc:AlternateContent>
  <xr:revisionPtr revIDLastSave="0" documentId="13_ncr:1_{195FC74A-20E1-4323-AC50-A21023183C4E}" xr6:coauthVersionLast="47" xr6:coauthVersionMax="47" xr10:uidLastSave="{00000000-0000-0000-0000-000000000000}"/>
  <workbookProtection workbookAlgorithmName="SHA-512" workbookHashValue="n8Nh7quztSFy1fOemXbB/dsYFhKuC4NrtdtXPjVPyUeGpVIuD0CzEzRzbrBktIVzI/TBFP98JO8XBvX/yrf2Ow==" workbookSaltValue="yCwqqey5YHHUtfXcoZdh2g==" workbookSpinCount="100000" lockStructure="1"/>
  <bookViews>
    <workbookView xWindow="-28920" yWindow="-120" windowWidth="29040" windowHeight="15720" tabRatio="861" xr2:uid="{00000000-000D-0000-FFFF-FFFF00000000}"/>
  </bookViews>
  <sheets>
    <sheet name="Inhaltsverzeichnis" sheetId="1" r:id="rId1"/>
    <sheet name="Preisübersicht" sheetId="3" r:id="rId2"/>
    <sheet name="Preisübersicht (nach Bedarf)" sheetId="23" r:id="rId3"/>
    <sheet name="SVS UnterhaltsRG" sheetId="38" r:id="rId4"/>
    <sheet name="SVS GrundRG" sheetId="29" r:id="rId5"/>
    <sheet name="SVS Regiestunden Prallschutz" sheetId="43" r:id="rId6"/>
    <sheet name="SVS Regiestunden Trainingslager" sheetId="84" r:id="rId7"/>
    <sheet name="SVS UnterhaltsRG öff WC" sheetId="44" r:id="rId8"/>
    <sheet name="Kal Unter Bremmel TH" sheetId="60" r:id="rId9"/>
    <sheet name="Kal Unter Bed Bremmel TH" sheetId="77" r:id="rId10"/>
    <sheet name="Kal Grund Bremmel TH" sheetId="72" r:id="rId11"/>
    <sheet name="Kal Unter Grundschule" sheetId="61" r:id="rId12"/>
    <sheet name="Kal Unter Fer Grundschule" sheetId="76" r:id="rId13"/>
    <sheet name="Kal Grund Grundschule" sheetId="73" r:id="rId14"/>
    <sheet name="Kal Unter Hallenbad" sheetId="62" r:id="rId15"/>
    <sheet name="Kal Grund Hallenbad" sheetId="74" r:id="rId16"/>
    <sheet name="Kal Unter Lehrschwimmbad" sheetId="63" r:id="rId17"/>
    <sheet name="Kal Grund Lehrschwimmbad" sheetId="75" r:id="rId18"/>
    <sheet name="Kal Unter öffentl WC" sheetId="64" r:id="rId19"/>
    <sheet name="Kal Unter Bed öffentl WC" sheetId="78" r:id="rId20"/>
    <sheet name="Kal Unter Rathaus" sheetId="65" r:id="rId21"/>
    <sheet name="Kal Unter Schloss Ost" sheetId="66" r:id="rId22"/>
    <sheet name="Kal Unter Bed Schloss Ost" sheetId="79" r:id="rId23"/>
    <sheet name="Kal Unter Schloss West" sheetId="67" r:id="rId24"/>
    <sheet name="Kal Unter SchlossWest RZ" sheetId="68" r:id="rId25"/>
    <sheet name="Kal Unter Stadtinfo" sheetId="69" r:id="rId26"/>
    <sheet name="Kal Unter Verwaltung I" sheetId="70" r:id="rId27"/>
    <sheet name="Kal Unter Verwaltung II" sheetId="71" r:id="rId28"/>
    <sheet name="Kal Matten Gesamt" sheetId="25" r:id="rId29"/>
    <sheet name="Kal Pflegefilm Bed" sheetId="55" r:id="rId30"/>
    <sheet name="Kal Rohre u Balken Gesamt" sheetId="53" r:id="rId31"/>
    <sheet name="Kal Sonstiges Gesamt" sheetId="54" r:id="rId32"/>
    <sheet name="Kal Glasvitrinen Gesamt" sheetId="80" r:id="rId33"/>
    <sheet name="Kal Regie Prallschutz" sheetId="81" r:id="rId34"/>
    <sheet name="Kal Regie Trainingslager" sheetId="82" r:id="rId35"/>
    <sheet name="Kal Umkleidespinde Gesamt" sheetId="83" r:id="rId36"/>
    <sheet name="Reinigungstage" sheetId="46" r:id="rId37"/>
  </sheets>
  <definedNames>
    <definedName name="berAuftragskosten" localSheetId="32">SVS #REF!</definedName>
    <definedName name="berAuftragskosten" localSheetId="10">SVS #REF!</definedName>
    <definedName name="berAuftragskosten" localSheetId="13">SVS #REF!</definedName>
    <definedName name="berAuftragskosten" localSheetId="15">SVS #REF!</definedName>
    <definedName name="berAuftragskosten" localSheetId="17">SVS #REF!</definedName>
    <definedName name="berAuftragskosten" localSheetId="33">SVS #REF!</definedName>
    <definedName name="berAuftragskosten" localSheetId="34">SVS #REF!</definedName>
    <definedName name="berAuftragskosten" localSheetId="35">SVS #REF!</definedName>
    <definedName name="berAuftragskosten" localSheetId="9">SVS #REF!</definedName>
    <definedName name="berAuftragskosten" localSheetId="19">SVS #REF!</definedName>
    <definedName name="berAuftragskosten" localSheetId="22">SVS #REF!</definedName>
    <definedName name="berAuftragskosten" localSheetId="8">SVS #REF!</definedName>
    <definedName name="berAuftragskosten" localSheetId="12">SVS #REF!</definedName>
    <definedName name="berAuftragskosten" localSheetId="11">SVS #REF!</definedName>
    <definedName name="berAuftragskosten" localSheetId="14">SVS #REF!</definedName>
    <definedName name="berAuftragskosten" localSheetId="16">SVS #REF!</definedName>
    <definedName name="berAuftragskosten" localSheetId="18">SVS #REF!</definedName>
    <definedName name="berAuftragskosten" localSheetId="20">SVS #REF!</definedName>
    <definedName name="berAuftragskosten" localSheetId="21">SVS #REF!</definedName>
    <definedName name="berAuftragskosten" localSheetId="23">SVS #REF!</definedName>
    <definedName name="berAuftragskosten" localSheetId="24">SVS #REF!</definedName>
    <definedName name="berAuftragskosten" localSheetId="25">SVS #REF!</definedName>
    <definedName name="berAuftragskosten" localSheetId="26">SVS #REF!</definedName>
    <definedName name="berAuftragskosten" localSheetId="27">SVS #REF!</definedName>
    <definedName name="berAuftragskosten" localSheetId="6">SVS #REF!</definedName>
    <definedName name="berAuftragskosten">SVS #REF!</definedName>
    <definedName name="BereichSVSGrundWC" localSheetId="32">#REF!</definedName>
    <definedName name="BereichSVSGrundWC" localSheetId="33">#REF!</definedName>
    <definedName name="BereichSVSGrundWC" localSheetId="34">#REF!</definedName>
    <definedName name="BereichSVSGrundWC" localSheetId="35">#REF!</definedName>
    <definedName name="BereichSVSGrundWC">#REF!</definedName>
    <definedName name="berRGTageObjekt" localSheetId="32">#REF!</definedName>
    <definedName name="berRGTageObjekt" localSheetId="33">#REF!</definedName>
    <definedName name="berRGTageObjekt" localSheetId="34">#REF!</definedName>
    <definedName name="berRGTageObjekt" localSheetId="35">#REF!</definedName>
    <definedName name="berRGTageObjekt">#REF!</definedName>
    <definedName name="_xlnm.Print_Area" localSheetId="0">Inhaltsverzeichnis!$A$1:$R$37</definedName>
    <definedName name="_xlnm.Print_Area" localSheetId="32">'Kal Glasvitrinen Gesamt'!$A$1:$L$13</definedName>
    <definedName name="_xlnm.Print_Area" localSheetId="10">'Kal Grund Bremmel TH'!$A$1:$R$56</definedName>
    <definedName name="_xlnm.Print_Area" localSheetId="13">'Kal Grund Grundschule'!$A$1:$R$105</definedName>
    <definedName name="_xlnm.Print_Area" localSheetId="15">'Kal Grund Hallenbad'!$A$1:$R$33</definedName>
    <definedName name="_xlnm.Print_Area" localSheetId="17">'Kal Grund Lehrschwimmbad'!$A$1:$R$46</definedName>
    <definedName name="_xlnm.Print_Area" localSheetId="28">'Kal Matten Gesamt'!$A$1:$K$9</definedName>
    <definedName name="_xlnm.Print_Area" localSheetId="29">'Kal Pflegefilm Bed'!$A$1:$G$6</definedName>
    <definedName name="_xlnm.Print_Area" localSheetId="33">'Kal Regie Prallschutz'!$A$1:$J$11</definedName>
    <definedName name="_xlnm.Print_Area" localSheetId="34">'Kal Regie Trainingslager'!$A$1:$K$43</definedName>
    <definedName name="_xlnm.Print_Area" localSheetId="30">'Kal Rohre u Balken Gesamt'!$A$1:$K$13</definedName>
    <definedName name="_xlnm.Print_Area" localSheetId="31">'Kal Sonstiges Gesamt'!$A$1:$Q$31</definedName>
    <definedName name="_xlnm.Print_Area" localSheetId="35">'Kal Umkleidespinde Gesamt'!$A$1:$J$5</definedName>
    <definedName name="_xlnm.Print_Area" localSheetId="9">'Kal Unter Bed Bremmel TH'!$A$1:$S$49</definedName>
    <definedName name="_xlnm.Print_Area" localSheetId="19">'Kal Unter Bed öffentl WC'!$A$1:$S$24</definedName>
    <definedName name="_xlnm.Print_Area" localSheetId="22">'Kal Unter Bed Schloss Ost'!$A$1:$S$24</definedName>
    <definedName name="_xlnm.Print_Area" localSheetId="8">'Kal Unter Bremmel TH'!$A$1:$S$57</definedName>
    <definedName name="_xlnm.Print_Area" localSheetId="12">'Kal Unter Fer Grundschule'!$A$1:$S$60</definedName>
    <definedName name="_xlnm.Print_Area" localSheetId="11">'Kal Unter Grundschule'!$A$1:$S$106</definedName>
    <definedName name="_xlnm.Print_Area" localSheetId="14">'Kal Unter Hallenbad'!$A$1:$S$34</definedName>
    <definedName name="_xlnm.Print_Area" localSheetId="16">'Kal Unter Lehrschwimmbad'!$A$1:$S$61</definedName>
    <definedName name="_xlnm.Print_Area" localSheetId="18">'Kal Unter öffentl WC'!$A$1:$S$24</definedName>
    <definedName name="_xlnm.Print_Area" localSheetId="20">'Kal Unter Rathaus'!$A$1:$S$66</definedName>
    <definedName name="_xlnm.Print_Area" localSheetId="21">'Kal Unter Schloss Ost'!$A$1:$S$48</definedName>
    <definedName name="_xlnm.Print_Area" localSheetId="23">'Kal Unter Schloss West'!$A$1:$S$22</definedName>
    <definedName name="_xlnm.Print_Area" localSheetId="24">'Kal Unter SchlossWest RZ'!$A$1:$S$38</definedName>
    <definedName name="_xlnm.Print_Area" localSheetId="25">'Kal Unter Stadtinfo'!$A$1:$S$27</definedName>
    <definedName name="_xlnm.Print_Area" localSheetId="26">'Kal Unter Verwaltung I'!$A$1:$S$47</definedName>
    <definedName name="_xlnm.Print_Area" localSheetId="27">'Kal Unter Verwaltung II'!$A$1:$S$57</definedName>
    <definedName name="_xlnm.Print_Area" localSheetId="1">Preisübersicht!$A$1:$L$18</definedName>
    <definedName name="_xlnm.Print_Area" localSheetId="2">'Preisübersicht (nach Bedarf)'!$A$1:$N$12</definedName>
    <definedName name="_xlnm.Print_Area" localSheetId="4">'SVS GrundRG'!$A$1:$I$79</definedName>
    <definedName name="_xlnm.Print_Area" localSheetId="5">'SVS Regiestunden Prallschutz'!$A$1:$P$79</definedName>
    <definedName name="_xlnm.Print_Area" localSheetId="6">'SVS Regiestunden Trainingslager'!$A$1:$P$79</definedName>
    <definedName name="_xlnm.Print_Area" localSheetId="3">'SVS UnterhaltsRG'!$A$1:$I$79</definedName>
    <definedName name="_xlnm.Print_Area" localSheetId="7">'SVS UnterhaltsRG öff WC'!$A$1:$P$80</definedName>
    <definedName name="_xlnm.Print_Titles" localSheetId="10">'Kal Grund Bremmel TH'!$20:$21</definedName>
    <definedName name="_xlnm.Print_Titles" localSheetId="13">'Kal Grund Grundschule'!$20:$21</definedName>
    <definedName name="_xlnm.Print_Titles" localSheetId="15">'Kal Grund Hallenbad'!$20:$21</definedName>
    <definedName name="_xlnm.Print_Titles" localSheetId="17">'Kal Grund Lehrschwimmbad'!$20:$21</definedName>
    <definedName name="_xlnm.Print_Titles" localSheetId="9">'Kal Unter Bed Bremmel TH'!$20:$21</definedName>
    <definedName name="_xlnm.Print_Titles" localSheetId="19">'Kal Unter Bed öffentl WC'!$20:$21</definedName>
    <definedName name="_xlnm.Print_Titles" localSheetId="22">'Kal Unter Bed Schloss Ost'!$20:$21</definedName>
    <definedName name="_xlnm.Print_Titles" localSheetId="8">'Kal Unter Bremmel TH'!$20:$21</definedName>
    <definedName name="_xlnm.Print_Titles" localSheetId="12">'Kal Unter Fer Grundschule'!$20:$21</definedName>
    <definedName name="_xlnm.Print_Titles" localSheetId="11">'Kal Unter Grundschule'!$20:$21</definedName>
    <definedName name="_xlnm.Print_Titles" localSheetId="14">'Kal Unter Hallenbad'!$20:$21</definedName>
    <definedName name="_xlnm.Print_Titles" localSheetId="16">'Kal Unter Lehrschwimmbad'!$20:$21</definedName>
    <definedName name="_xlnm.Print_Titles" localSheetId="18">'Kal Unter öffentl WC'!$20:$21</definedName>
    <definedName name="_xlnm.Print_Titles" localSheetId="20">'Kal Unter Rathaus'!$20:$21</definedName>
    <definedName name="_xlnm.Print_Titles" localSheetId="21">'Kal Unter Schloss Ost'!$20:$21</definedName>
    <definedName name="_xlnm.Print_Titles" localSheetId="23">'Kal Unter Schloss West'!$20:$21</definedName>
    <definedName name="_xlnm.Print_Titles" localSheetId="24">'Kal Unter SchlossWest RZ'!$20:$21</definedName>
    <definedName name="_xlnm.Print_Titles" localSheetId="25">'Kal Unter Stadtinfo'!$20:$21</definedName>
    <definedName name="_xlnm.Print_Titles" localSheetId="26">'Kal Unter Verwaltung I'!$20:$21</definedName>
    <definedName name="_xlnm.Print_Titles" localSheetId="27">'Kal Unter Verwaltung II'!$20:$21</definedName>
    <definedName name="_xlnm.Print_Titles" localSheetId="1">Preisübersicht!$1:$5</definedName>
    <definedName name="_xlnm.Print_Titles" localSheetId="2">'Preisübersicht (nach Bedarf)'!$1:$5</definedName>
    <definedName name="Ferien" localSheetId="33">#REF!</definedName>
    <definedName name="Ferien" localSheetId="34">#REF!</definedName>
    <definedName name="Ferien" localSheetId="35">#REF!</definedName>
    <definedName name="Ferien">#REF!</definedName>
    <definedName name="sAuftragskosten" localSheetId="32">SVS #REF!</definedName>
    <definedName name="sAuftragskosten" localSheetId="10">SVS #REF!</definedName>
    <definedName name="sAuftragskosten" localSheetId="13">SVS #REF!</definedName>
    <definedName name="sAuftragskosten" localSheetId="15">SVS #REF!</definedName>
    <definedName name="sAuftragskosten" localSheetId="17">SVS #REF!</definedName>
    <definedName name="sAuftragskosten" localSheetId="33">SVS #REF!</definedName>
    <definedName name="sAuftragskosten" localSheetId="34">SVS #REF!</definedName>
    <definedName name="sAuftragskosten" localSheetId="35">SVS #REF!</definedName>
    <definedName name="sAuftragskosten" localSheetId="9">SVS #REF!</definedName>
    <definedName name="sAuftragskosten" localSheetId="19">SVS #REF!</definedName>
    <definedName name="sAuftragskosten" localSheetId="22">SVS #REF!</definedName>
    <definedName name="sAuftragskosten" localSheetId="8">SVS #REF!</definedName>
    <definedName name="sAuftragskosten" localSheetId="12">SVS #REF!</definedName>
    <definedName name="sAuftragskosten" localSheetId="11">SVS #REF!</definedName>
    <definedName name="sAuftragskosten" localSheetId="14">SVS #REF!</definedName>
    <definedName name="sAuftragskosten" localSheetId="16">SVS #REF!</definedName>
    <definedName name="sAuftragskosten" localSheetId="18">SVS #REF!</definedName>
    <definedName name="sAuftragskosten" localSheetId="20">SVS #REF!</definedName>
    <definedName name="sAuftragskosten" localSheetId="21">SVS #REF!</definedName>
    <definedName name="sAuftragskosten" localSheetId="23">SVS #REF!</definedName>
    <definedName name="sAuftragskosten" localSheetId="24">SVS #REF!</definedName>
    <definedName name="sAuftragskosten" localSheetId="25">SVS #REF!</definedName>
    <definedName name="sAuftragskosten" localSheetId="26">SVS #REF!</definedName>
    <definedName name="sAuftragskosten" localSheetId="27">SVS #REF!</definedName>
    <definedName name="sAuftragskosten" localSheetId="6">SVS #REF!</definedName>
    <definedName name="sAuftragskosten">SVS #REF!</definedName>
    <definedName name="SVListe" localSheetId="32">#REF!</definedName>
    <definedName name="SVListe" localSheetId="29">#REF!</definedName>
    <definedName name="SVListe" localSheetId="33">#REF!</definedName>
    <definedName name="SVListe" localSheetId="34">#REF!</definedName>
    <definedName name="SVListe" localSheetId="35">#REF!</definedName>
    <definedName name="SVListe">#REF!</definedName>
    <definedName name="TTListe" localSheetId="32">#REF!</definedName>
    <definedName name="TTListe" localSheetId="29">#REF!</definedName>
    <definedName name="TTListe" localSheetId="33">#REF!</definedName>
    <definedName name="TTListe" localSheetId="34">#REF!</definedName>
    <definedName name="TTListe" localSheetId="35">#REF!</definedName>
    <definedName name="TTListe">#REF!</definedName>
    <definedName name="Turnus" localSheetId="32">#REF!</definedName>
    <definedName name="Turnus" localSheetId="29">#REF!</definedName>
    <definedName name="Turnus" localSheetId="33">#REF!</definedName>
    <definedName name="Turnus" localSheetId="34">#REF!</definedName>
    <definedName name="Turnus" localSheetId="35">#REF!</definedName>
    <definedName name="Turnus">#REF!</definedName>
    <definedName name="TurnusKita" localSheetId="32">#REF!</definedName>
    <definedName name="TurnusKita" localSheetId="29">#REF!</definedName>
    <definedName name="TurnusKita" localSheetId="33">#REF!</definedName>
    <definedName name="TurnusKita" localSheetId="34">#REF!</definedName>
    <definedName name="TurnusKita" localSheetId="35">#REF!</definedName>
    <definedName name="TurnusKita">#REF!</definedName>
    <definedName name="TurnusSchule" localSheetId="32">#REF!</definedName>
    <definedName name="TurnusSchule" localSheetId="29">#REF!</definedName>
    <definedName name="TurnusSchule" localSheetId="33">#REF!</definedName>
    <definedName name="TurnusSchule" localSheetId="34">#REF!</definedName>
    <definedName name="TurnusSchule" localSheetId="35">#REF!</definedName>
    <definedName name="TurnusSchule">#REF!</definedName>
    <definedName name="TurnusVerwaltung" localSheetId="32">#REF!</definedName>
    <definedName name="TurnusVerwaltung" localSheetId="29">#REF!</definedName>
    <definedName name="TurnusVerwaltung" localSheetId="33">#REF!</definedName>
    <definedName name="TurnusVerwaltung" localSheetId="34">#REF!</definedName>
    <definedName name="TurnusVerwaltung" localSheetId="35">#REF!</definedName>
    <definedName name="TurnusVerwaltu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1" i="82" l="1"/>
  <c r="B2" i="83" l="1"/>
  <c r="B2" i="82"/>
  <c r="B2" i="81"/>
  <c r="B2" i="80"/>
  <c r="N27" i="1" l="1"/>
  <c r="J26" i="1"/>
  <c r="N26" i="1"/>
  <c r="F6" i="1"/>
  <c r="G6" i="3"/>
  <c r="E5" i="83" l="1"/>
  <c r="D76" i="84"/>
  <c r="D23" i="84" s="1"/>
  <c r="D24" i="84" s="1"/>
  <c r="K68" i="84"/>
  <c r="K67" i="84"/>
  <c r="K66" i="84"/>
  <c r="K65" i="84"/>
  <c r="K60" i="84"/>
  <c r="H60" i="84"/>
  <c r="F57" i="84"/>
  <c r="K56" i="84"/>
  <c r="H56" i="84"/>
  <c r="K55" i="84"/>
  <c r="H55" i="84"/>
  <c r="K54" i="84"/>
  <c r="H54" i="84"/>
  <c r="K53" i="84"/>
  <c r="H53" i="84"/>
  <c r="K52" i="84"/>
  <c r="H52" i="84"/>
  <c r="K51" i="84"/>
  <c r="H51" i="84"/>
  <c r="K50" i="84"/>
  <c r="H50" i="84"/>
  <c r="H57" i="84" s="1"/>
  <c r="K48" i="84"/>
  <c r="H48" i="84"/>
  <c r="K47" i="84"/>
  <c r="H47" i="84"/>
  <c r="K46" i="84"/>
  <c r="H46" i="84"/>
  <c r="F42" i="84"/>
  <c r="K41" i="84"/>
  <c r="H41" i="84"/>
  <c r="K40" i="84"/>
  <c r="H40" i="84"/>
  <c r="K39" i="84"/>
  <c r="H39" i="84"/>
  <c r="K38" i="84"/>
  <c r="H38" i="84"/>
  <c r="F34" i="84"/>
  <c r="F59" i="84" s="1"/>
  <c r="K33" i="84"/>
  <c r="H33" i="84"/>
  <c r="K32" i="84"/>
  <c r="H32" i="84"/>
  <c r="H34" i="84" s="1"/>
  <c r="K34" i="84" s="1"/>
  <c r="F28" i="84"/>
  <c r="K27" i="84"/>
  <c r="H27" i="84"/>
  <c r="K25" i="84"/>
  <c r="P23" i="84"/>
  <c r="O23" i="84"/>
  <c r="N23" i="84"/>
  <c r="M23" i="84"/>
  <c r="P22" i="84"/>
  <c r="O22" i="84"/>
  <c r="N22" i="84"/>
  <c r="M22" i="84"/>
  <c r="D22" i="84"/>
  <c r="F22" i="84" s="1"/>
  <c r="D21" i="84"/>
  <c r="D19" i="84"/>
  <c r="D17" i="84"/>
  <c r="H14" i="84"/>
  <c r="K14" i="84" s="1"/>
  <c r="F14" i="84"/>
  <c r="D20" i="84" s="1"/>
  <c r="K13" i="84"/>
  <c r="H13" i="84"/>
  <c r="K12" i="84"/>
  <c r="H12" i="84"/>
  <c r="K11" i="84"/>
  <c r="H11" i="84"/>
  <c r="K10" i="84"/>
  <c r="H10" i="84"/>
  <c r="P9" i="84"/>
  <c r="O9" i="84"/>
  <c r="N9" i="84"/>
  <c r="M9" i="84"/>
  <c r="K9" i="84"/>
  <c r="H9" i="84"/>
  <c r="C2" i="84"/>
  <c r="E1" i="84"/>
  <c r="G13" i="80"/>
  <c r="H13" i="80" s="1"/>
  <c r="M13" i="80" s="1"/>
  <c r="G12" i="80"/>
  <c r="H12" i="80" s="1"/>
  <c r="M12" i="80" s="1"/>
  <c r="G10" i="80"/>
  <c r="H10" i="80" s="1"/>
  <c r="M10" i="80" s="1"/>
  <c r="G9" i="80"/>
  <c r="H9" i="80" s="1"/>
  <c r="M9" i="80" s="1"/>
  <c r="G11" i="80"/>
  <c r="H11" i="80" s="1"/>
  <c r="M11" i="80" s="1"/>
  <c r="G8" i="80"/>
  <c r="H8" i="80" s="1"/>
  <c r="M8" i="80" s="1"/>
  <c r="G7" i="80"/>
  <c r="H7" i="80" s="1"/>
  <c r="M7" i="80" s="1"/>
  <c r="G6" i="80"/>
  <c r="H6" i="80" s="1"/>
  <c r="M6" i="80" s="1"/>
  <c r="G5" i="80"/>
  <c r="H5" i="80" s="1"/>
  <c r="M5" i="80" s="1"/>
  <c r="AP31" i="46"/>
  <c r="AQ31" i="46"/>
  <c r="AR31" i="46"/>
  <c r="AO31" i="46"/>
  <c r="AL16" i="46"/>
  <c r="AM16" i="46"/>
  <c r="AN16" i="46"/>
  <c r="AL17" i="46"/>
  <c r="AM17" i="46"/>
  <c r="AN17" i="46"/>
  <c r="AL11" i="46"/>
  <c r="AM11" i="46"/>
  <c r="AN11" i="46"/>
  <c r="AL12" i="46"/>
  <c r="AM12" i="46"/>
  <c r="AN12" i="46"/>
  <c r="AL13" i="46"/>
  <c r="AM13" i="46"/>
  <c r="AN13" i="46"/>
  <c r="AL14" i="46"/>
  <c r="AM14" i="46"/>
  <c r="AN14" i="46"/>
  <c r="AL15" i="46"/>
  <c r="AM15" i="46"/>
  <c r="AN15" i="46"/>
  <c r="AN10" i="46"/>
  <c r="AM10" i="46"/>
  <c r="AL10" i="46"/>
  <c r="AR22" i="46"/>
  <c r="AQ22" i="46"/>
  <c r="AP22" i="46"/>
  <c r="AR21" i="46"/>
  <c r="AQ21" i="46"/>
  <c r="AP21" i="46"/>
  <c r="AO22" i="46"/>
  <c r="AN22" i="46"/>
  <c r="AM22" i="46"/>
  <c r="AL22" i="46"/>
  <c r="AO21" i="46"/>
  <c r="AN21" i="46"/>
  <c r="AM21" i="46"/>
  <c r="AL21" i="46"/>
  <c r="AN20" i="46"/>
  <c r="AM20" i="46"/>
  <c r="AL20" i="46"/>
  <c r="AN19" i="46"/>
  <c r="AM19" i="46"/>
  <c r="AL19" i="46"/>
  <c r="AN18" i="46"/>
  <c r="AM18" i="46"/>
  <c r="AL18" i="46"/>
  <c r="K5" i="83"/>
  <c r="J5" i="83"/>
  <c r="K3" i="83"/>
  <c r="E2" i="83"/>
  <c r="L40" i="82"/>
  <c r="K40" i="82"/>
  <c r="L39" i="82"/>
  <c r="K39" i="82"/>
  <c r="L38" i="82"/>
  <c r="K38" i="82"/>
  <c r="L37" i="82"/>
  <c r="K37" i="82"/>
  <c r="L36" i="82"/>
  <c r="K36" i="82"/>
  <c r="L35" i="82"/>
  <c r="K35" i="82"/>
  <c r="L34" i="82"/>
  <c r="K34" i="82"/>
  <c r="L33" i="82"/>
  <c r="K33" i="82"/>
  <c r="L32" i="82"/>
  <c r="K32" i="82"/>
  <c r="L31" i="82"/>
  <c r="K31" i="82"/>
  <c r="L30" i="82"/>
  <c r="K30" i="82"/>
  <c r="L29" i="82"/>
  <c r="K29" i="82"/>
  <c r="L28" i="82"/>
  <c r="K28" i="82"/>
  <c r="L27" i="82"/>
  <c r="K27" i="82"/>
  <c r="L26" i="82"/>
  <c r="K26" i="82"/>
  <c r="L25" i="82"/>
  <c r="K25" i="82"/>
  <c r="L24" i="82"/>
  <c r="K24" i="82"/>
  <c r="L23" i="82"/>
  <c r="K23" i="82"/>
  <c r="L22" i="82"/>
  <c r="K22" i="82"/>
  <c r="K21" i="82"/>
  <c r="L20" i="82"/>
  <c r="K20" i="82"/>
  <c r="L19" i="82"/>
  <c r="K19" i="82"/>
  <c r="L18" i="82"/>
  <c r="K18" i="82"/>
  <c r="L17" i="82"/>
  <c r="K17" i="82"/>
  <c r="L16" i="82"/>
  <c r="K16" i="82"/>
  <c r="L15" i="82"/>
  <c r="K15" i="82"/>
  <c r="L14" i="82"/>
  <c r="K14" i="82"/>
  <c r="L13" i="82"/>
  <c r="K13" i="82"/>
  <c r="L12" i="82"/>
  <c r="K12" i="82"/>
  <c r="L11" i="82"/>
  <c r="K11" i="82"/>
  <c r="L10" i="82"/>
  <c r="K10" i="82"/>
  <c r="L9" i="82"/>
  <c r="K9" i="82"/>
  <c r="L8" i="82"/>
  <c r="K8" i="82"/>
  <c r="L7" i="82"/>
  <c r="K7" i="82"/>
  <c r="L6" i="82"/>
  <c r="K6" i="82"/>
  <c r="L5" i="82"/>
  <c r="L3" i="82" s="1"/>
  <c r="K5" i="82"/>
  <c r="O4" i="82"/>
  <c r="G2" i="82"/>
  <c r="K5" i="81"/>
  <c r="K3" i="81" s="1"/>
  <c r="J5" i="81"/>
  <c r="D2" i="81"/>
  <c r="G2" i="80"/>
  <c r="H42" i="84" l="1"/>
  <c r="K42" i="84" s="1"/>
  <c r="F20" i="84"/>
  <c r="H20" i="84" s="1"/>
  <c r="F24" i="84"/>
  <c r="H24" i="84" s="1"/>
  <c r="K57" i="84"/>
  <c r="H59" i="84"/>
  <c r="D18" i="84"/>
  <c r="D26" i="84"/>
  <c r="H22" i="84"/>
  <c r="H28" i="84"/>
  <c r="M3" i="80"/>
  <c r="K61" i="84" a="1"/>
  <c r="H61" i="84"/>
  <c r="J6" i="82" l="1"/>
  <c r="J22" i="82"/>
  <c r="J38" i="82"/>
  <c r="J26" i="82"/>
  <c r="J28" i="82"/>
  <c r="J34" i="82"/>
  <c r="J36" i="82"/>
  <c r="J7" i="82"/>
  <c r="J23" i="82"/>
  <c r="J39" i="82"/>
  <c r="J10" i="82"/>
  <c r="J8" i="82"/>
  <c r="J24" i="82"/>
  <c r="J40" i="82"/>
  <c r="J35" i="82"/>
  <c r="J21" i="82"/>
  <c r="J9" i="82"/>
  <c r="J25" i="82"/>
  <c r="J19" i="82"/>
  <c r="J11" i="82"/>
  <c r="J27" i="82"/>
  <c r="J17" i="82"/>
  <c r="J12" i="82"/>
  <c r="J18" i="82"/>
  <c r="J13" i="82"/>
  <c r="J29" i="82"/>
  <c r="J32" i="82"/>
  <c r="J33" i="82"/>
  <c r="J37" i="82"/>
  <c r="J14" i="82"/>
  <c r="J30" i="82"/>
  <c r="J20" i="82"/>
  <c r="J15" i="82"/>
  <c r="J31" i="82"/>
  <c r="J16" i="82"/>
  <c r="J5" i="82"/>
  <c r="K61" i="84"/>
  <c r="A1" i="84"/>
  <c r="K21" i="84"/>
  <c r="P7" i="84"/>
  <c r="N7" i="84"/>
  <c r="M7" i="84"/>
  <c r="O7" i="84"/>
  <c r="F61" i="84"/>
  <c r="F62" i="84" s="1"/>
  <c r="K62" i="84" s="1"/>
  <c r="K5" i="84"/>
  <c r="K28" i="84"/>
  <c r="K19" i="84"/>
  <c r="K23" i="84"/>
  <c r="K17" i="84"/>
  <c r="F26" i="84"/>
  <c r="H26" i="84" s="1"/>
  <c r="F18" i="84"/>
  <c r="F29" i="84" s="1"/>
  <c r="H29" i="84"/>
  <c r="K29" i="84" s="1"/>
  <c r="O25" i="84" l="1"/>
  <c r="O27" i="84" s="1"/>
  <c r="O10" i="84"/>
  <c r="O12" i="84" s="1"/>
  <c r="M10" i="84"/>
  <c r="M12" i="84" s="1"/>
  <c r="M25" i="84"/>
  <c r="M27" i="84" s="1"/>
  <c r="N10" i="84"/>
  <c r="N12" i="84" s="1"/>
  <c r="N25" i="84"/>
  <c r="N27" i="84" s="1"/>
  <c r="P10" i="84"/>
  <c r="P12" i="84" s="1"/>
  <c r="P25" i="84"/>
  <c r="P27" i="84" s="1"/>
  <c r="H18" i="84"/>
  <c r="M13" i="84" l="1"/>
  <c r="M14" i="84" s="1"/>
  <c r="M15" i="84" s="1"/>
  <c r="M16" i="84" s="1"/>
  <c r="M17" i="84" s="1"/>
  <c r="M18" i="84" s="1"/>
  <c r="M19" i="84" s="1"/>
  <c r="M20" i="84" s="1"/>
  <c r="M21" i="84" s="1"/>
  <c r="M24" i="84" s="1"/>
  <c r="P13" i="84"/>
  <c r="P14" i="84" s="1"/>
  <c r="P15" i="84" s="1"/>
  <c r="P16" i="84" s="1"/>
  <c r="P17" i="84" s="1"/>
  <c r="P18" i="84" s="1"/>
  <c r="P19" i="84" s="1"/>
  <c r="P20" i="84" s="1"/>
  <c r="P21" i="84" s="1"/>
  <c r="N13" i="84"/>
  <c r="N14" i="84" s="1"/>
  <c r="N15" i="84" s="1"/>
  <c r="N16" i="84" s="1"/>
  <c r="N17" i="84" s="1"/>
  <c r="N18" i="84" s="1"/>
  <c r="N19" i="84" s="1"/>
  <c r="N20" i="84" s="1"/>
  <c r="N21" i="84" s="1"/>
  <c r="O13" i="84"/>
  <c r="O14" i="84" s="1"/>
  <c r="O15" i="84" s="1"/>
  <c r="O16" i="84" s="1"/>
  <c r="O17" i="84" s="1"/>
  <c r="O18" i="84" s="1"/>
  <c r="O19" i="84" s="1"/>
  <c r="O20" i="84" s="1"/>
  <c r="O21" i="84" s="1"/>
  <c r="O24" i="84" l="1"/>
  <c r="N24" i="84"/>
  <c r="P24" i="84"/>
  <c r="F7" i="23" l="1"/>
  <c r="H7" i="23" s="1"/>
  <c r="G7" i="23" s="1"/>
  <c r="F6" i="23"/>
  <c r="H6" i="23" s="1"/>
  <c r="G6" i="23" s="1"/>
  <c r="W31" i="46"/>
  <c r="X31" i="46"/>
  <c r="Y31" i="46"/>
  <c r="V31" i="46"/>
  <c r="H3" i="55"/>
  <c r="G6" i="55"/>
  <c r="H6" i="55"/>
  <c r="K26" i="54"/>
  <c r="I26" i="54"/>
  <c r="K25" i="54"/>
  <c r="J25" i="54"/>
  <c r="K24" i="54"/>
  <c r="I24" i="54"/>
  <c r="K23" i="54"/>
  <c r="J23" i="54"/>
  <c r="K22" i="54"/>
  <c r="J22" i="54"/>
  <c r="K21" i="54"/>
  <c r="I21" i="54"/>
  <c r="K20" i="54"/>
  <c r="J20" i="54"/>
  <c r="K19" i="54"/>
  <c r="I19" i="54"/>
  <c r="K18" i="54"/>
  <c r="I18" i="54"/>
  <c r="K17" i="54"/>
  <c r="I17" i="54"/>
  <c r="K16" i="54"/>
  <c r="I16" i="54"/>
  <c r="K15" i="54"/>
  <c r="I15" i="54"/>
  <c r="K14" i="54"/>
  <c r="J14" i="54"/>
  <c r="K13" i="54"/>
  <c r="J13" i="54"/>
  <c r="K12" i="54"/>
  <c r="J12" i="54"/>
  <c r="K11" i="54"/>
  <c r="J11" i="54"/>
  <c r="K10" i="54"/>
  <c r="J10" i="54"/>
  <c r="K9" i="54"/>
  <c r="I9" i="54"/>
  <c r="K8" i="54"/>
  <c r="J8" i="54"/>
  <c r="K7" i="54"/>
  <c r="I7" i="54"/>
  <c r="K6" i="54"/>
  <c r="J6" i="54"/>
  <c r="K5" i="54"/>
  <c r="J5" i="54"/>
  <c r="H5" i="55"/>
  <c r="G5" i="55"/>
  <c r="L3" i="25"/>
  <c r="L6" i="25"/>
  <c r="H6" i="25"/>
  <c r="U24" i="79"/>
  <c r="U23" i="79"/>
  <c r="U22" i="79"/>
  <c r="N24" i="79"/>
  <c r="P24" i="79" s="1"/>
  <c r="R24" i="79" s="1"/>
  <c r="N23" i="79"/>
  <c r="P23" i="79" s="1"/>
  <c r="R23" i="79" s="1"/>
  <c r="N22" i="79"/>
  <c r="P22" i="79" s="1"/>
  <c r="R22" i="79" s="1"/>
  <c r="I21" i="79"/>
  <c r="H21" i="79"/>
  <c r="G21" i="79"/>
  <c r="U24" i="78"/>
  <c r="U23" i="78"/>
  <c r="U22" i="78"/>
  <c r="N24" i="78"/>
  <c r="N23" i="78"/>
  <c r="N22" i="78"/>
  <c r="I21" i="78"/>
  <c r="H21" i="78"/>
  <c r="G21" i="78"/>
  <c r="P24" i="78"/>
  <c r="R24" i="78" s="1"/>
  <c r="P23" i="78"/>
  <c r="R23" i="78" s="1"/>
  <c r="P22" i="78"/>
  <c r="U49" i="77"/>
  <c r="U48" i="77"/>
  <c r="U47" i="77"/>
  <c r="U46" i="77"/>
  <c r="U45" i="77"/>
  <c r="U44" i="77"/>
  <c r="U43" i="77"/>
  <c r="U42" i="77"/>
  <c r="U41" i="77"/>
  <c r="U40" i="77"/>
  <c r="U39" i="77"/>
  <c r="U38" i="77"/>
  <c r="U37" i="77"/>
  <c r="U36" i="77"/>
  <c r="U35" i="77"/>
  <c r="U34" i="77"/>
  <c r="U33" i="77"/>
  <c r="U32" i="77"/>
  <c r="U31" i="77"/>
  <c r="U30" i="77"/>
  <c r="U29" i="77"/>
  <c r="U28" i="77"/>
  <c r="U27" i="77"/>
  <c r="U26" i="77"/>
  <c r="U25" i="77"/>
  <c r="U24" i="77"/>
  <c r="U23" i="77"/>
  <c r="U22" i="77"/>
  <c r="N49" i="77"/>
  <c r="P49" i="77" s="1"/>
  <c r="R49" i="77" s="1"/>
  <c r="N48" i="77"/>
  <c r="P48" i="77" s="1"/>
  <c r="R48" i="77" s="1"/>
  <c r="N47" i="77"/>
  <c r="P47" i="77" s="1"/>
  <c r="R47" i="77" s="1"/>
  <c r="N46" i="77"/>
  <c r="P46" i="77" s="1"/>
  <c r="R46" i="77" s="1"/>
  <c r="N45" i="77"/>
  <c r="P45" i="77" s="1"/>
  <c r="R45" i="77" s="1"/>
  <c r="N44" i="77"/>
  <c r="P44" i="77" s="1"/>
  <c r="R44" i="77" s="1"/>
  <c r="N43" i="77"/>
  <c r="P43" i="77" s="1"/>
  <c r="R43" i="77" s="1"/>
  <c r="N42" i="77"/>
  <c r="P42" i="77" s="1"/>
  <c r="R42" i="77" s="1"/>
  <c r="N41" i="77"/>
  <c r="P41" i="77" s="1"/>
  <c r="R41" i="77" s="1"/>
  <c r="N40" i="77"/>
  <c r="N39" i="77"/>
  <c r="P39" i="77" s="1"/>
  <c r="R39" i="77" s="1"/>
  <c r="N38" i="77"/>
  <c r="P38" i="77" s="1"/>
  <c r="R38" i="77" s="1"/>
  <c r="N37" i="77"/>
  <c r="P37" i="77" s="1"/>
  <c r="R37" i="77" s="1"/>
  <c r="N36" i="77"/>
  <c r="P36" i="77" s="1"/>
  <c r="R36" i="77" s="1"/>
  <c r="N35" i="77"/>
  <c r="P35" i="77" s="1"/>
  <c r="R35" i="77" s="1"/>
  <c r="N34" i="77"/>
  <c r="P34" i="77" s="1"/>
  <c r="R34" i="77" s="1"/>
  <c r="N33" i="77"/>
  <c r="P33" i="77" s="1"/>
  <c r="R33" i="77" s="1"/>
  <c r="N32" i="77"/>
  <c r="P32" i="77" s="1"/>
  <c r="R32" i="77" s="1"/>
  <c r="N31" i="77"/>
  <c r="P31" i="77" s="1"/>
  <c r="R31" i="77" s="1"/>
  <c r="N30" i="77"/>
  <c r="P30" i="77" s="1"/>
  <c r="R30" i="77" s="1"/>
  <c r="N29" i="77"/>
  <c r="P29" i="77" s="1"/>
  <c r="R29" i="77" s="1"/>
  <c r="N28" i="77"/>
  <c r="P28" i="77" s="1"/>
  <c r="R28" i="77" s="1"/>
  <c r="N27" i="77"/>
  <c r="P27" i="77" s="1"/>
  <c r="R27" i="77" s="1"/>
  <c r="N26" i="77"/>
  <c r="P26" i="77" s="1"/>
  <c r="R26" i="77" s="1"/>
  <c r="N25" i="77"/>
  <c r="P25" i="77" s="1"/>
  <c r="R25" i="77" s="1"/>
  <c r="N24" i="77"/>
  <c r="P24" i="77" s="1"/>
  <c r="R24" i="77" s="1"/>
  <c r="N23" i="77"/>
  <c r="P23" i="77" s="1"/>
  <c r="R23" i="77" s="1"/>
  <c r="N22" i="77"/>
  <c r="P22" i="77" s="1"/>
  <c r="I21" i="77"/>
  <c r="H21" i="77"/>
  <c r="G21" i="77"/>
  <c r="U60" i="76"/>
  <c r="U59" i="76"/>
  <c r="U58" i="76"/>
  <c r="U57" i="76"/>
  <c r="U56" i="76"/>
  <c r="U55" i="76"/>
  <c r="U54" i="76"/>
  <c r="U53" i="76"/>
  <c r="U52" i="76"/>
  <c r="U51" i="76"/>
  <c r="U50" i="76"/>
  <c r="U49" i="76"/>
  <c r="U48" i="76"/>
  <c r="U47" i="76"/>
  <c r="U46" i="76"/>
  <c r="U45" i="76"/>
  <c r="U44" i="76"/>
  <c r="U43" i="76"/>
  <c r="U42" i="76"/>
  <c r="U41" i="76"/>
  <c r="U40" i="76"/>
  <c r="U39" i="76"/>
  <c r="U38" i="76"/>
  <c r="U37" i="76"/>
  <c r="U36" i="76"/>
  <c r="U35" i="76"/>
  <c r="U34" i="76"/>
  <c r="U33" i="76"/>
  <c r="U32" i="76"/>
  <c r="U31" i="76"/>
  <c r="U30" i="76"/>
  <c r="U29" i="76"/>
  <c r="U28" i="76"/>
  <c r="U27" i="76"/>
  <c r="U26" i="76"/>
  <c r="U25" i="76"/>
  <c r="U24" i="76"/>
  <c r="U23" i="76"/>
  <c r="U22" i="76"/>
  <c r="N60" i="76"/>
  <c r="P60" i="76" s="1"/>
  <c r="R60" i="76" s="1"/>
  <c r="N59" i="76"/>
  <c r="P59" i="76" s="1"/>
  <c r="R59" i="76" s="1"/>
  <c r="N58" i="76"/>
  <c r="P58" i="76" s="1"/>
  <c r="R58" i="76" s="1"/>
  <c r="N57" i="76"/>
  <c r="N56" i="76"/>
  <c r="P56" i="76" s="1"/>
  <c r="R56" i="76" s="1"/>
  <c r="N55" i="76"/>
  <c r="P55" i="76" s="1"/>
  <c r="R55" i="76" s="1"/>
  <c r="N54" i="76"/>
  <c r="P54" i="76" s="1"/>
  <c r="R54" i="76" s="1"/>
  <c r="N53" i="76"/>
  <c r="P53" i="76" s="1"/>
  <c r="R53" i="76" s="1"/>
  <c r="N52" i="76"/>
  <c r="P52" i="76" s="1"/>
  <c r="R52" i="76" s="1"/>
  <c r="N51" i="76"/>
  <c r="P51" i="76" s="1"/>
  <c r="R51" i="76" s="1"/>
  <c r="N50" i="76"/>
  <c r="P50" i="76" s="1"/>
  <c r="R50" i="76" s="1"/>
  <c r="N49" i="76"/>
  <c r="P49" i="76" s="1"/>
  <c r="R49" i="76" s="1"/>
  <c r="N48" i="76"/>
  <c r="P48" i="76" s="1"/>
  <c r="R48" i="76" s="1"/>
  <c r="N47" i="76"/>
  <c r="P47" i="76" s="1"/>
  <c r="R47" i="76" s="1"/>
  <c r="N46" i="76"/>
  <c r="P46" i="76" s="1"/>
  <c r="R46" i="76" s="1"/>
  <c r="N45" i="76"/>
  <c r="P45" i="76" s="1"/>
  <c r="R45" i="76" s="1"/>
  <c r="N44" i="76"/>
  <c r="P44" i="76" s="1"/>
  <c r="R44" i="76" s="1"/>
  <c r="N43" i="76"/>
  <c r="P43" i="76" s="1"/>
  <c r="R43" i="76" s="1"/>
  <c r="N42" i="76"/>
  <c r="P42" i="76" s="1"/>
  <c r="R42" i="76" s="1"/>
  <c r="N41" i="76"/>
  <c r="P41" i="76" s="1"/>
  <c r="R41" i="76" s="1"/>
  <c r="N40" i="76"/>
  <c r="P40" i="76" s="1"/>
  <c r="R40" i="76" s="1"/>
  <c r="N39" i="76"/>
  <c r="P39" i="76" s="1"/>
  <c r="R39" i="76" s="1"/>
  <c r="N38" i="76"/>
  <c r="P38" i="76" s="1"/>
  <c r="R38" i="76" s="1"/>
  <c r="N37" i="76"/>
  <c r="P37" i="76" s="1"/>
  <c r="R37" i="76" s="1"/>
  <c r="N36" i="76"/>
  <c r="P36" i="76" s="1"/>
  <c r="R36" i="76" s="1"/>
  <c r="N35" i="76"/>
  <c r="P35" i="76" s="1"/>
  <c r="R35" i="76" s="1"/>
  <c r="N34" i="76"/>
  <c r="N33" i="76"/>
  <c r="P33" i="76" s="1"/>
  <c r="R33" i="76" s="1"/>
  <c r="N32" i="76"/>
  <c r="P32" i="76" s="1"/>
  <c r="R32" i="76" s="1"/>
  <c r="N31" i="76"/>
  <c r="P31" i="76" s="1"/>
  <c r="R31" i="76" s="1"/>
  <c r="N30" i="76"/>
  <c r="P30" i="76" s="1"/>
  <c r="R30" i="76" s="1"/>
  <c r="N29" i="76"/>
  <c r="P29" i="76" s="1"/>
  <c r="R29" i="76" s="1"/>
  <c r="N28" i="76"/>
  <c r="P28" i="76" s="1"/>
  <c r="R28" i="76" s="1"/>
  <c r="N27" i="76"/>
  <c r="P27" i="76" s="1"/>
  <c r="R27" i="76" s="1"/>
  <c r="N26" i="76"/>
  <c r="N25" i="76"/>
  <c r="P25" i="76" s="1"/>
  <c r="R25" i="76" s="1"/>
  <c r="N24" i="76"/>
  <c r="P24" i="76" s="1"/>
  <c r="R24" i="76" s="1"/>
  <c r="N23" i="76"/>
  <c r="P23" i="76" s="1"/>
  <c r="R23" i="76" s="1"/>
  <c r="N22" i="76"/>
  <c r="P22" i="76" s="1"/>
  <c r="R22" i="76" s="1"/>
  <c r="I21" i="76"/>
  <c r="H21" i="76"/>
  <c r="G21" i="76"/>
  <c r="U46" i="75"/>
  <c r="V46" i="75" s="1"/>
  <c r="W46" i="75" s="1"/>
  <c r="U45" i="75"/>
  <c r="V45" i="75" s="1"/>
  <c r="W45" i="75" s="1"/>
  <c r="U44" i="75"/>
  <c r="U43" i="75"/>
  <c r="V43" i="75" s="1"/>
  <c r="W43" i="75" s="1"/>
  <c r="U42" i="75"/>
  <c r="V42" i="75" s="1"/>
  <c r="W42" i="75" s="1"/>
  <c r="U41" i="75"/>
  <c r="V41" i="75" s="1"/>
  <c r="W41" i="75" s="1"/>
  <c r="U40" i="75"/>
  <c r="V40" i="75" s="1"/>
  <c r="W40" i="75" s="1"/>
  <c r="U39" i="75"/>
  <c r="V39" i="75" s="1"/>
  <c r="W39" i="75" s="1"/>
  <c r="U38" i="75"/>
  <c r="V38" i="75" s="1"/>
  <c r="W38" i="75" s="1"/>
  <c r="U37" i="75"/>
  <c r="U36" i="75"/>
  <c r="V36" i="75" s="1"/>
  <c r="W36" i="75" s="1"/>
  <c r="U35" i="75"/>
  <c r="U34" i="75"/>
  <c r="V34" i="75" s="1"/>
  <c r="W34" i="75" s="1"/>
  <c r="U33" i="75"/>
  <c r="U32" i="75"/>
  <c r="V32" i="75" s="1"/>
  <c r="W32" i="75" s="1"/>
  <c r="U31" i="75"/>
  <c r="V31" i="75" s="1"/>
  <c r="W31" i="75" s="1"/>
  <c r="U30" i="75"/>
  <c r="U29" i="75"/>
  <c r="V29" i="75" s="1"/>
  <c r="W29" i="75" s="1"/>
  <c r="U28" i="75"/>
  <c r="V28" i="75" s="1"/>
  <c r="W28" i="75" s="1"/>
  <c r="U27" i="75"/>
  <c r="V27" i="75" s="1"/>
  <c r="W27" i="75" s="1"/>
  <c r="U26" i="75"/>
  <c r="V26" i="75" s="1"/>
  <c r="W26" i="75" s="1"/>
  <c r="U25" i="75"/>
  <c r="V25" i="75" s="1"/>
  <c r="W25" i="75" s="1"/>
  <c r="U24" i="75"/>
  <c r="V24" i="75" s="1"/>
  <c r="W24" i="75" s="1"/>
  <c r="U23" i="75"/>
  <c r="V23" i="75" s="1"/>
  <c r="W23" i="75" s="1"/>
  <c r="U22" i="75"/>
  <c r="N46" i="75"/>
  <c r="P46" i="75" s="1"/>
  <c r="R46" i="75" s="1"/>
  <c r="N45" i="75"/>
  <c r="X45" i="75" s="1"/>
  <c r="N44" i="75"/>
  <c r="P44" i="75" s="1"/>
  <c r="R44" i="75" s="1"/>
  <c r="N43" i="75"/>
  <c r="P43" i="75" s="1"/>
  <c r="N42" i="75"/>
  <c r="N41" i="75"/>
  <c r="X41" i="75" s="1"/>
  <c r="N40" i="75"/>
  <c r="X40" i="75" s="1"/>
  <c r="N39" i="75"/>
  <c r="X39" i="75" s="1"/>
  <c r="N38" i="75"/>
  <c r="P38" i="75" s="1"/>
  <c r="R38" i="75" s="1"/>
  <c r="N37" i="75"/>
  <c r="X37" i="75" s="1"/>
  <c r="N36" i="75"/>
  <c r="X36" i="75" s="1"/>
  <c r="N35" i="75"/>
  <c r="X35" i="75" s="1"/>
  <c r="N34" i="75"/>
  <c r="P34" i="75" s="1"/>
  <c r="R34" i="75" s="1"/>
  <c r="N33" i="75"/>
  <c r="X33" i="75" s="1"/>
  <c r="N32" i="75"/>
  <c r="X32" i="75" s="1"/>
  <c r="N31" i="75"/>
  <c r="X31" i="75" s="1"/>
  <c r="N30" i="75"/>
  <c r="P30" i="75" s="1"/>
  <c r="R30" i="75" s="1"/>
  <c r="N29" i="75"/>
  <c r="X29" i="75" s="1"/>
  <c r="N28" i="75"/>
  <c r="X28" i="75" s="1"/>
  <c r="N27" i="75"/>
  <c r="X27" i="75" s="1"/>
  <c r="N26" i="75"/>
  <c r="P26" i="75" s="1"/>
  <c r="R26" i="75" s="1"/>
  <c r="N25" i="75"/>
  <c r="X25" i="75" s="1"/>
  <c r="N24" i="75"/>
  <c r="X24" i="75" s="1"/>
  <c r="N23" i="75"/>
  <c r="X23" i="75" s="1"/>
  <c r="N22" i="75"/>
  <c r="X22" i="75" s="1"/>
  <c r="I21" i="75"/>
  <c r="H21" i="75"/>
  <c r="G21" i="75"/>
  <c r="V44" i="75"/>
  <c r="W44" i="75" s="1"/>
  <c r="U33" i="74"/>
  <c r="V33" i="74" s="1"/>
  <c r="W33" i="74" s="1"/>
  <c r="U32" i="74"/>
  <c r="V32" i="74" s="1"/>
  <c r="W32" i="74" s="1"/>
  <c r="U31" i="74"/>
  <c r="V31" i="74" s="1"/>
  <c r="W31" i="74" s="1"/>
  <c r="U30" i="74"/>
  <c r="U29" i="74"/>
  <c r="V29" i="74" s="1"/>
  <c r="W29" i="74" s="1"/>
  <c r="U28" i="74"/>
  <c r="V28" i="74" s="1"/>
  <c r="W28" i="74" s="1"/>
  <c r="U27" i="74"/>
  <c r="V27" i="74" s="1"/>
  <c r="W27" i="74" s="1"/>
  <c r="U26" i="74"/>
  <c r="U25" i="74"/>
  <c r="U24" i="74"/>
  <c r="U23" i="74"/>
  <c r="V23" i="74" s="1"/>
  <c r="W23" i="74" s="1"/>
  <c r="U22" i="74"/>
  <c r="V22" i="74" s="1"/>
  <c r="W22" i="74" s="1"/>
  <c r="N33" i="74"/>
  <c r="X33" i="74" s="1"/>
  <c r="N32" i="74"/>
  <c r="N31" i="74"/>
  <c r="X31" i="74" s="1"/>
  <c r="N30" i="74"/>
  <c r="X30" i="74" s="1"/>
  <c r="N29" i="74"/>
  <c r="X29" i="74" s="1"/>
  <c r="N28" i="74"/>
  <c r="X28" i="74" s="1"/>
  <c r="N27" i="74"/>
  <c r="N26" i="74"/>
  <c r="N25" i="74"/>
  <c r="N24" i="74"/>
  <c r="X24" i="74" s="1"/>
  <c r="N23" i="74"/>
  <c r="N22" i="74"/>
  <c r="P22" i="74" s="1"/>
  <c r="I21" i="74"/>
  <c r="H21" i="74"/>
  <c r="G21" i="74"/>
  <c r="X32" i="74"/>
  <c r="P32" i="74"/>
  <c r="R32" i="74" s="1"/>
  <c r="X27" i="74"/>
  <c r="P27" i="74"/>
  <c r="Q27" i="74" s="1"/>
  <c r="X26" i="74"/>
  <c r="V26" i="74"/>
  <c r="W26" i="74" s="1"/>
  <c r="P26" i="74"/>
  <c r="R26" i="74" s="1"/>
  <c r="X25" i="74"/>
  <c r="V25" i="74"/>
  <c r="W25" i="74" s="1"/>
  <c r="P25" i="74"/>
  <c r="Q25" i="74" s="1"/>
  <c r="V24" i="74"/>
  <c r="P24" i="74"/>
  <c r="R24" i="74" s="1"/>
  <c r="X23" i="74"/>
  <c r="P23" i="74"/>
  <c r="R23" i="74" s="1"/>
  <c r="X22" i="74"/>
  <c r="U105" i="73"/>
  <c r="V105" i="73" s="1"/>
  <c r="W105" i="73" s="1"/>
  <c r="X105" i="73" s="1"/>
  <c r="U104" i="73"/>
  <c r="V104" i="73" s="1"/>
  <c r="W104" i="73" s="1"/>
  <c r="X104" i="73" s="1"/>
  <c r="U103" i="73"/>
  <c r="U102" i="73"/>
  <c r="V102" i="73" s="1"/>
  <c r="W102" i="73" s="1"/>
  <c r="U101" i="73"/>
  <c r="U100" i="73"/>
  <c r="U99" i="73"/>
  <c r="U98" i="73"/>
  <c r="U97" i="73"/>
  <c r="U96" i="73"/>
  <c r="V96" i="73" s="1"/>
  <c r="W96" i="73" s="1"/>
  <c r="U95" i="73"/>
  <c r="U94" i="73"/>
  <c r="U93" i="73"/>
  <c r="U92" i="73"/>
  <c r="U91" i="73"/>
  <c r="U90" i="73"/>
  <c r="V90" i="73" s="1"/>
  <c r="W90" i="73" s="1"/>
  <c r="U89" i="73"/>
  <c r="U88" i="73"/>
  <c r="U87" i="73"/>
  <c r="U86" i="73"/>
  <c r="U85" i="73"/>
  <c r="U84" i="73"/>
  <c r="U83" i="73"/>
  <c r="U82" i="73"/>
  <c r="U81" i="73"/>
  <c r="U80" i="73"/>
  <c r="V80" i="73" s="1"/>
  <c r="W80" i="73" s="1"/>
  <c r="U79" i="73"/>
  <c r="U78" i="73"/>
  <c r="V78" i="73" s="1"/>
  <c r="W78" i="73" s="1"/>
  <c r="U77" i="73"/>
  <c r="U76" i="73"/>
  <c r="U75" i="73"/>
  <c r="V75" i="73" s="1"/>
  <c r="W75" i="73" s="1"/>
  <c r="U74" i="73"/>
  <c r="U73" i="73"/>
  <c r="U72" i="73"/>
  <c r="U71" i="73"/>
  <c r="U70" i="73"/>
  <c r="U69" i="73"/>
  <c r="U68" i="73"/>
  <c r="V68" i="73" s="1"/>
  <c r="W68" i="73" s="1"/>
  <c r="U67" i="73"/>
  <c r="U66" i="73"/>
  <c r="U65" i="73"/>
  <c r="U64" i="73"/>
  <c r="V64" i="73" s="1"/>
  <c r="W64" i="73" s="1"/>
  <c r="U63" i="73"/>
  <c r="U62" i="73"/>
  <c r="U61" i="73"/>
  <c r="U60" i="73"/>
  <c r="U59" i="73"/>
  <c r="U58" i="73"/>
  <c r="U57" i="73"/>
  <c r="U56" i="73"/>
  <c r="V56" i="73" s="1"/>
  <c r="W56" i="73" s="1"/>
  <c r="X56" i="73" s="1"/>
  <c r="U55" i="73"/>
  <c r="U54" i="73"/>
  <c r="U53" i="73"/>
  <c r="U52" i="73"/>
  <c r="V52" i="73" s="1"/>
  <c r="W52" i="73" s="1"/>
  <c r="U51" i="73"/>
  <c r="U50" i="73"/>
  <c r="U49" i="73"/>
  <c r="U48" i="73"/>
  <c r="U47" i="73"/>
  <c r="U46" i="73"/>
  <c r="U45" i="73"/>
  <c r="U44" i="73"/>
  <c r="U43" i="73"/>
  <c r="V43" i="73" s="1"/>
  <c r="W43" i="73" s="1"/>
  <c r="U42" i="73"/>
  <c r="U41" i="73"/>
  <c r="U40" i="73"/>
  <c r="U39" i="73"/>
  <c r="U38" i="73"/>
  <c r="U37" i="73"/>
  <c r="U36" i="73"/>
  <c r="V36" i="73" s="1"/>
  <c r="W36" i="73" s="1"/>
  <c r="U35" i="73"/>
  <c r="U34" i="73"/>
  <c r="U33" i="73"/>
  <c r="U32" i="73"/>
  <c r="U31" i="73"/>
  <c r="U30" i="73"/>
  <c r="U29" i="73"/>
  <c r="U28" i="73"/>
  <c r="U27" i="73"/>
  <c r="U26" i="73"/>
  <c r="U25" i="73"/>
  <c r="U24" i="73"/>
  <c r="U23" i="73"/>
  <c r="V23" i="73" s="1"/>
  <c r="W23" i="73" s="1"/>
  <c r="U22" i="73"/>
  <c r="N105" i="73"/>
  <c r="N104" i="73"/>
  <c r="N103" i="73"/>
  <c r="N102" i="73"/>
  <c r="N101" i="73"/>
  <c r="P101" i="73" s="1"/>
  <c r="N100" i="73"/>
  <c r="P100" i="73" s="1"/>
  <c r="N99" i="73"/>
  <c r="P99" i="73" s="1"/>
  <c r="N98" i="73"/>
  <c r="N97" i="73"/>
  <c r="N96" i="73"/>
  <c r="N95" i="73"/>
  <c r="N94" i="73"/>
  <c r="N93" i="73"/>
  <c r="P93" i="73" s="1"/>
  <c r="N92" i="73"/>
  <c r="N91" i="73"/>
  <c r="N90" i="73"/>
  <c r="X90" i="73" s="1"/>
  <c r="N89" i="73"/>
  <c r="N88" i="73"/>
  <c r="N87" i="73"/>
  <c r="N86" i="73"/>
  <c r="N85" i="73"/>
  <c r="N84" i="73"/>
  <c r="P84" i="73" s="1"/>
  <c r="N83" i="73"/>
  <c r="N82" i="73"/>
  <c r="N81" i="73"/>
  <c r="N80" i="73"/>
  <c r="N79" i="73"/>
  <c r="N78" i="73"/>
  <c r="X78" i="73" s="1"/>
  <c r="N77" i="73"/>
  <c r="N76" i="73"/>
  <c r="X76" i="73" s="1"/>
  <c r="N75" i="73"/>
  <c r="N74" i="73"/>
  <c r="N73" i="73"/>
  <c r="N72" i="73"/>
  <c r="N71" i="73"/>
  <c r="N70" i="73"/>
  <c r="P70" i="73" s="1"/>
  <c r="N69" i="73"/>
  <c r="N68" i="73"/>
  <c r="P68" i="73" s="1"/>
  <c r="N67" i="73"/>
  <c r="P67" i="73" s="1"/>
  <c r="N66" i="73"/>
  <c r="N65" i="73"/>
  <c r="N64" i="73"/>
  <c r="N63" i="73"/>
  <c r="P63" i="73" s="1"/>
  <c r="N62" i="73"/>
  <c r="N61" i="73"/>
  <c r="P61" i="73" s="1"/>
  <c r="N60" i="73"/>
  <c r="N59" i="73"/>
  <c r="N58" i="73"/>
  <c r="X58" i="73" s="1"/>
  <c r="N57" i="73"/>
  <c r="N56" i="73"/>
  <c r="N55" i="73"/>
  <c r="N54" i="73"/>
  <c r="N53" i="73"/>
  <c r="P53" i="73" s="1"/>
  <c r="N52" i="73"/>
  <c r="P52" i="73" s="1"/>
  <c r="N51" i="73"/>
  <c r="P51" i="73" s="1"/>
  <c r="N50" i="73"/>
  <c r="N49" i="73"/>
  <c r="N48" i="73"/>
  <c r="N47" i="73"/>
  <c r="P47" i="73" s="1"/>
  <c r="N46" i="73"/>
  <c r="P46" i="73" s="1"/>
  <c r="N45" i="73"/>
  <c r="P45" i="73" s="1"/>
  <c r="N44" i="73"/>
  <c r="P44" i="73" s="1"/>
  <c r="N43" i="73"/>
  <c r="X43" i="73" s="1"/>
  <c r="N42" i="73"/>
  <c r="X42" i="73" s="1"/>
  <c r="N41" i="73"/>
  <c r="N40" i="73"/>
  <c r="N39" i="73"/>
  <c r="N38" i="73"/>
  <c r="N37" i="73"/>
  <c r="N36" i="73"/>
  <c r="P36" i="73" s="1"/>
  <c r="N35" i="73"/>
  <c r="P35" i="73" s="1"/>
  <c r="N34" i="73"/>
  <c r="N33" i="73"/>
  <c r="N32" i="73"/>
  <c r="N31" i="73"/>
  <c r="P31" i="73" s="1"/>
  <c r="N30" i="73"/>
  <c r="P30" i="73" s="1"/>
  <c r="N29" i="73"/>
  <c r="N28" i="73"/>
  <c r="N27" i="73"/>
  <c r="N26" i="73"/>
  <c r="N25" i="73"/>
  <c r="N24" i="73"/>
  <c r="N23" i="73"/>
  <c r="N22" i="73"/>
  <c r="P22" i="73" s="1"/>
  <c r="I21" i="73"/>
  <c r="H21" i="73"/>
  <c r="G21" i="73"/>
  <c r="P105" i="73"/>
  <c r="P104" i="73"/>
  <c r="X103" i="73"/>
  <c r="V103" i="73"/>
  <c r="W103" i="73" s="1"/>
  <c r="P103" i="73"/>
  <c r="P102" i="73"/>
  <c r="V101" i="73"/>
  <c r="W101" i="73" s="1"/>
  <c r="X101" i="73" s="1"/>
  <c r="V99" i="73"/>
  <c r="W99" i="73" s="1"/>
  <c r="X99" i="73" s="1"/>
  <c r="V98" i="73"/>
  <c r="W98" i="73" s="1"/>
  <c r="X98" i="73" s="1"/>
  <c r="P98" i="73"/>
  <c r="V97" i="73"/>
  <c r="W97" i="73" s="1"/>
  <c r="X97" i="73" s="1"/>
  <c r="P97" i="73"/>
  <c r="P96" i="73"/>
  <c r="V95" i="73"/>
  <c r="W95" i="73" s="1"/>
  <c r="P95" i="73"/>
  <c r="V94" i="73"/>
  <c r="W94" i="73" s="1"/>
  <c r="X94" i="73" s="1"/>
  <c r="P94" i="73"/>
  <c r="V93" i="73"/>
  <c r="W93" i="73" s="1"/>
  <c r="V92" i="73"/>
  <c r="W92" i="73" s="1"/>
  <c r="V91" i="73"/>
  <c r="W91" i="73" s="1"/>
  <c r="V89" i="73"/>
  <c r="W89" i="73" s="1"/>
  <c r="V88" i="73"/>
  <c r="W88" i="73" s="1"/>
  <c r="X88" i="73" s="1"/>
  <c r="P88" i="73"/>
  <c r="V87" i="73"/>
  <c r="W87" i="73" s="1"/>
  <c r="X87" i="73" s="1"/>
  <c r="P87" i="73"/>
  <c r="P86" i="73"/>
  <c r="V85" i="73"/>
  <c r="W85" i="73" s="1"/>
  <c r="P85" i="73"/>
  <c r="V83" i="73"/>
  <c r="W83" i="73" s="1"/>
  <c r="X83" i="73" s="1"/>
  <c r="P83" i="73"/>
  <c r="V82" i="73"/>
  <c r="W82" i="73" s="1"/>
  <c r="X82" i="73" s="1"/>
  <c r="P82" i="73"/>
  <c r="V81" i="73"/>
  <c r="W81" i="73" s="1"/>
  <c r="X81" i="73" s="1"/>
  <c r="P81" i="73"/>
  <c r="P80" i="73"/>
  <c r="V79" i="73"/>
  <c r="W79" i="73" s="1"/>
  <c r="X79" i="73" s="1"/>
  <c r="P79" i="73"/>
  <c r="P78" i="73"/>
  <c r="V77" i="73"/>
  <c r="W77" i="73" s="1"/>
  <c r="V76" i="73"/>
  <c r="W76" i="73" s="1"/>
  <c r="V74" i="73"/>
  <c r="W74" i="73" s="1"/>
  <c r="X73" i="73"/>
  <c r="V73" i="73"/>
  <c r="W73" i="73" s="1"/>
  <c r="P73" i="73"/>
  <c r="V72" i="73"/>
  <c r="W72" i="73" s="1"/>
  <c r="X72" i="73" s="1"/>
  <c r="P72" i="73"/>
  <c r="V71" i="73"/>
  <c r="W71" i="73" s="1"/>
  <c r="X71" i="73" s="1"/>
  <c r="P71" i="73"/>
  <c r="V69" i="73"/>
  <c r="W69" i="73" s="1"/>
  <c r="P69" i="73"/>
  <c r="V67" i="73"/>
  <c r="W67" i="73" s="1"/>
  <c r="V66" i="73"/>
  <c r="V65" i="73"/>
  <c r="P65" i="73"/>
  <c r="V63" i="73"/>
  <c r="W63" i="73" s="1"/>
  <c r="X63" i="73" s="1"/>
  <c r="V62" i="73"/>
  <c r="W62" i="73" s="1"/>
  <c r="P62" i="73"/>
  <c r="V61" i="73"/>
  <c r="W61" i="73" s="1"/>
  <c r="V60" i="73"/>
  <c r="W60" i="73" s="1"/>
  <c r="V59" i="73"/>
  <c r="W59" i="73" s="1"/>
  <c r="V58" i="73"/>
  <c r="W58" i="73" s="1"/>
  <c r="V57" i="73"/>
  <c r="W57" i="73" s="1"/>
  <c r="X57" i="73" s="1"/>
  <c r="P57" i="73"/>
  <c r="P56" i="73"/>
  <c r="V55" i="73"/>
  <c r="W55" i="73" s="1"/>
  <c r="X55" i="73" s="1"/>
  <c r="P55" i="73"/>
  <c r="V54" i="73"/>
  <c r="P54" i="73"/>
  <c r="V51" i="73"/>
  <c r="W51" i="73" s="1"/>
  <c r="V50" i="73"/>
  <c r="P50" i="73"/>
  <c r="V49" i="73"/>
  <c r="W49" i="73" s="1"/>
  <c r="X49" i="73" s="1"/>
  <c r="P49" i="73"/>
  <c r="V48" i="73"/>
  <c r="W48" i="73" s="1"/>
  <c r="P48" i="73"/>
  <c r="V47" i="73"/>
  <c r="W47" i="73" s="1"/>
  <c r="X47" i="73" s="1"/>
  <c r="V46" i="73"/>
  <c r="W46" i="73" s="1"/>
  <c r="V45" i="73"/>
  <c r="W45" i="73" s="1"/>
  <c r="V44" i="73"/>
  <c r="V42" i="73"/>
  <c r="W42" i="73" s="1"/>
  <c r="V41" i="73"/>
  <c r="W41" i="73" s="1"/>
  <c r="X41" i="73" s="1"/>
  <c r="P41" i="73"/>
  <c r="V40" i="73"/>
  <c r="P40" i="73"/>
  <c r="V39" i="73"/>
  <c r="W39" i="73" s="1"/>
  <c r="X39" i="73" s="1"/>
  <c r="P39" i="73"/>
  <c r="V37" i="73"/>
  <c r="W37" i="73" s="1"/>
  <c r="X37" i="73" s="1"/>
  <c r="P37" i="73"/>
  <c r="V34" i="73"/>
  <c r="W34" i="73" s="1"/>
  <c r="X34" i="73" s="1"/>
  <c r="P34" i="73"/>
  <c r="V33" i="73"/>
  <c r="W33" i="73" s="1"/>
  <c r="P33" i="73"/>
  <c r="V32" i="73"/>
  <c r="W32" i="73" s="1"/>
  <c r="P32" i="73"/>
  <c r="V31" i="73"/>
  <c r="W31" i="73" s="1"/>
  <c r="X31" i="73" s="1"/>
  <c r="V30" i="73"/>
  <c r="W30" i="73" s="1"/>
  <c r="V29" i="73"/>
  <c r="W29" i="73" s="1"/>
  <c r="V28" i="73"/>
  <c r="W28" i="73" s="1"/>
  <c r="V27" i="73"/>
  <c r="W27" i="73" s="1"/>
  <c r="V26" i="73"/>
  <c r="W26" i="73" s="1"/>
  <c r="V25" i="73"/>
  <c r="W25" i="73" s="1"/>
  <c r="P25" i="73"/>
  <c r="V24" i="73"/>
  <c r="W24" i="73" s="1"/>
  <c r="X24" i="73" s="1"/>
  <c r="P24" i="73"/>
  <c r="X23" i="73"/>
  <c r="P23" i="73"/>
  <c r="U56" i="72"/>
  <c r="V56" i="72" s="1"/>
  <c r="W56" i="72" s="1"/>
  <c r="U55" i="72"/>
  <c r="U54" i="72"/>
  <c r="V54" i="72" s="1"/>
  <c r="W54" i="72" s="1"/>
  <c r="U53" i="72"/>
  <c r="V53" i="72" s="1"/>
  <c r="W53" i="72" s="1"/>
  <c r="U52" i="72"/>
  <c r="V52" i="72" s="1"/>
  <c r="W52" i="72" s="1"/>
  <c r="U51" i="72"/>
  <c r="V51" i="72" s="1"/>
  <c r="W51" i="72" s="1"/>
  <c r="U50" i="72"/>
  <c r="V50" i="72" s="1"/>
  <c r="U49" i="72"/>
  <c r="U48" i="72"/>
  <c r="U47" i="72"/>
  <c r="U46" i="72"/>
  <c r="U45" i="72"/>
  <c r="U44" i="72"/>
  <c r="U43" i="72"/>
  <c r="U42" i="72"/>
  <c r="V42" i="72" s="1"/>
  <c r="W42" i="72" s="1"/>
  <c r="U41" i="72"/>
  <c r="U40" i="72"/>
  <c r="U39" i="72"/>
  <c r="V39" i="72" s="1"/>
  <c r="W39" i="72" s="1"/>
  <c r="U38" i="72"/>
  <c r="V38" i="72" s="1"/>
  <c r="W38" i="72" s="1"/>
  <c r="U37" i="72"/>
  <c r="V37" i="72" s="1"/>
  <c r="W37" i="72" s="1"/>
  <c r="U36" i="72"/>
  <c r="U35" i="72"/>
  <c r="V35" i="72" s="1"/>
  <c r="W35" i="72" s="1"/>
  <c r="U34" i="72"/>
  <c r="V34" i="72" s="1"/>
  <c r="W34" i="72" s="1"/>
  <c r="U33" i="72"/>
  <c r="U32" i="72"/>
  <c r="U31" i="72"/>
  <c r="U30" i="72"/>
  <c r="V30" i="72" s="1"/>
  <c r="U29" i="72"/>
  <c r="V29" i="72" s="1"/>
  <c r="W29" i="72" s="1"/>
  <c r="X29" i="72" s="1"/>
  <c r="U28" i="72"/>
  <c r="V28" i="72" s="1"/>
  <c r="W28" i="72" s="1"/>
  <c r="X28" i="72" s="1"/>
  <c r="U27" i="72"/>
  <c r="U26" i="72"/>
  <c r="V26" i="72" s="1"/>
  <c r="W26" i="72" s="1"/>
  <c r="U25" i="72"/>
  <c r="U24" i="72"/>
  <c r="V24" i="72" s="1"/>
  <c r="W24" i="72" s="1"/>
  <c r="U23" i="72"/>
  <c r="V23" i="72" s="1"/>
  <c r="W23" i="72" s="1"/>
  <c r="U22" i="72"/>
  <c r="V22" i="72" s="1"/>
  <c r="W22" i="72" s="1"/>
  <c r="N56" i="72"/>
  <c r="X56" i="72" s="1"/>
  <c r="N55" i="72"/>
  <c r="P55" i="72" s="1"/>
  <c r="N54" i="72"/>
  <c r="N53" i="72"/>
  <c r="P53" i="72" s="1"/>
  <c r="N52" i="72"/>
  <c r="P52" i="72" s="1"/>
  <c r="N51" i="72"/>
  <c r="X51" i="72" s="1"/>
  <c r="N50" i="72"/>
  <c r="N49" i="72"/>
  <c r="X49" i="72" s="1"/>
  <c r="N48" i="72"/>
  <c r="P48" i="72" s="1"/>
  <c r="N47" i="72"/>
  <c r="X47" i="72" s="1"/>
  <c r="N46" i="72"/>
  <c r="P46" i="72" s="1"/>
  <c r="N45" i="72"/>
  <c r="N44" i="72"/>
  <c r="N43" i="72"/>
  <c r="P43" i="72" s="1"/>
  <c r="N42" i="72"/>
  <c r="P42" i="72" s="1"/>
  <c r="N41" i="72"/>
  <c r="N40" i="72"/>
  <c r="P40" i="72" s="1"/>
  <c r="N39" i="72"/>
  <c r="N38" i="72"/>
  <c r="P38" i="72" s="1"/>
  <c r="N37" i="72"/>
  <c r="P37" i="72" s="1"/>
  <c r="N36" i="72"/>
  <c r="P36" i="72" s="1"/>
  <c r="N35" i="72"/>
  <c r="N34" i="72"/>
  <c r="N33" i="72"/>
  <c r="N32" i="72"/>
  <c r="N31" i="72"/>
  <c r="P31" i="72" s="1"/>
  <c r="N30" i="72"/>
  <c r="P30" i="72" s="1"/>
  <c r="N29" i="72"/>
  <c r="N28" i="72"/>
  <c r="N27" i="72"/>
  <c r="N26" i="72"/>
  <c r="N25" i="72"/>
  <c r="P25" i="72" s="1"/>
  <c r="N24" i="72"/>
  <c r="N23" i="72"/>
  <c r="P23" i="72" s="1"/>
  <c r="N22" i="72"/>
  <c r="I21" i="72"/>
  <c r="H21" i="72"/>
  <c r="G21" i="72"/>
  <c r="V49" i="72"/>
  <c r="W49" i="72" s="1"/>
  <c r="P49" i="72"/>
  <c r="V48" i="72"/>
  <c r="V47" i="72"/>
  <c r="W47" i="72" s="1"/>
  <c r="V45" i="72"/>
  <c r="W45" i="72" s="1"/>
  <c r="X45" i="72" s="1"/>
  <c r="P45" i="72"/>
  <c r="V44" i="72"/>
  <c r="W44" i="72" s="1"/>
  <c r="X44" i="72" s="1"/>
  <c r="P44" i="72"/>
  <c r="V43" i="72"/>
  <c r="W43" i="72" s="1"/>
  <c r="X42" i="72"/>
  <c r="V40" i="72"/>
  <c r="W40" i="72" s="1"/>
  <c r="V33" i="72"/>
  <c r="W33" i="72" s="1"/>
  <c r="X33" i="72" s="1"/>
  <c r="P33" i="72"/>
  <c r="V32" i="72"/>
  <c r="W32" i="72" s="1"/>
  <c r="V31" i="72"/>
  <c r="W31" i="72" s="1"/>
  <c r="P29" i="72"/>
  <c r="P28" i="72"/>
  <c r="P27" i="72"/>
  <c r="V25" i="72"/>
  <c r="U57" i="71"/>
  <c r="U56" i="71"/>
  <c r="U55" i="71"/>
  <c r="U54" i="71"/>
  <c r="U53" i="71"/>
  <c r="U52" i="71"/>
  <c r="U51" i="71"/>
  <c r="U50" i="71"/>
  <c r="U49" i="71"/>
  <c r="U48" i="71"/>
  <c r="U47" i="71"/>
  <c r="U46" i="71"/>
  <c r="U45" i="71"/>
  <c r="U44" i="71"/>
  <c r="U43" i="71"/>
  <c r="U42" i="71"/>
  <c r="U41" i="71"/>
  <c r="U40" i="71"/>
  <c r="U39" i="71"/>
  <c r="U38" i="71"/>
  <c r="U37" i="71"/>
  <c r="U36" i="71"/>
  <c r="U35" i="71"/>
  <c r="U34" i="71"/>
  <c r="U33" i="71"/>
  <c r="U32" i="71"/>
  <c r="U31" i="71"/>
  <c r="U30" i="71"/>
  <c r="U29" i="71"/>
  <c r="U28" i="71"/>
  <c r="U27" i="71"/>
  <c r="U26" i="71"/>
  <c r="U25" i="71"/>
  <c r="U24" i="71"/>
  <c r="U23" i="71"/>
  <c r="U22" i="71"/>
  <c r="N57" i="71"/>
  <c r="N56" i="71"/>
  <c r="N55" i="71"/>
  <c r="N54" i="71"/>
  <c r="N53" i="71"/>
  <c r="N52" i="71"/>
  <c r="N51" i="71"/>
  <c r="N50" i="71"/>
  <c r="N49" i="71"/>
  <c r="N48" i="71"/>
  <c r="N47" i="71"/>
  <c r="N46" i="71"/>
  <c r="N45" i="71"/>
  <c r="N44" i="71"/>
  <c r="N43" i="71"/>
  <c r="N42" i="71"/>
  <c r="N41" i="71"/>
  <c r="N40" i="71"/>
  <c r="N39" i="71"/>
  <c r="N38" i="71"/>
  <c r="N37" i="71"/>
  <c r="N36" i="71"/>
  <c r="N35" i="71"/>
  <c r="N34" i="71"/>
  <c r="P34" i="71" s="1"/>
  <c r="R34" i="71" s="1"/>
  <c r="N33" i="71"/>
  <c r="N32" i="71"/>
  <c r="N31" i="71"/>
  <c r="N30" i="71"/>
  <c r="N29" i="71"/>
  <c r="N28" i="71"/>
  <c r="N27" i="71"/>
  <c r="N26" i="71"/>
  <c r="N25" i="71"/>
  <c r="N24" i="71"/>
  <c r="N23" i="71"/>
  <c r="N22" i="71"/>
  <c r="I21" i="71"/>
  <c r="H21" i="71"/>
  <c r="G21" i="71"/>
  <c r="P57" i="71"/>
  <c r="R57" i="71" s="1"/>
  <c r="P56" i="71"/>
  <c r="R56" i="71" s="1"/>
  <c r="P55" i="71"/>
  <c r="R55" i="71" s="1"/>
  <c r="P54" i="71"/>
  <c r="R54" i="71" s="1"/>
  <c r="P53" i="71"/>
  <c r="R53" i="71" s="1"/>
  <c r="P52" i="71"/>
  <c r="R52" i="71" s="1"/>
  <c r="P51" i="71"/>
  <c r="R51" i="71" s="1"/>
  <c r="P50" i="71"/>
  <c r="R50" i="71" s="1"/>
  <c r="P49" i="71"/>
  <c r="R49" i="71" s="1"/>
  <c r="P48" i="71"/>
  <c r="R48" i="71" s="1"/>
  <c r="P47" i="71"/>
  <c r="R47" i="71" s="1"/>
  <c r="P46" i="71"/>
  <c r="R46" i="71" s="1"/>
  <c r="P45" i="71"/>
  <c r="R45" i="71" s="1"/>
  <c r="P44" i="71"/>
  <c r="R44" i="71" s="1"/>
  <c r="P43" i="71"/>
  <c r="R43" i="71" s="1"/>
  <c r="P42" i="71"/>
  <c r="R42" i="71" s="1"/>
  <c r="P41" i="71"/>
  <c r="R41" i="71" s="1"/>
  <c r="P40" i="71"/>
  <c r="R40" i="71" s="1"/>
  <c r="P39" i="71"/>
  <c r="R39" i="71" s="1"/>
  <c r="P38" i="71"/>
  <c r="R38" i="71" s="1"/>
  <c r="P37" i="71"/>
  <c r="R37" i="71" s="1"/>
  <c r="P36" i="71"/>
  <c r="R36" i="71" s="1"/>
  <c r="P35" i="71"/>
  <c r="R35" i="71" s="1"/>
  <c r="P32" i="71"/>
  <c r="R32" i="71" s="1"/>
  <c r="P31" i="71"/>
  <c r="R31" i="71" s="1"/>
  <c r="P30" i="71"/>
  <c r="R30" i="71" s="1"/>
  <c r="P29" i="71"/>
  <c r="R29" i="71" s="1"/>
  <c r="P28" i="71"/>
  <c r="R28" i="71" s="1"/>
  <c r="P26" i="71"/>
  <c r="R26" i="71" s="1"/>
  <c r="P25" i="71"/>
  <c r="R25" i="71" s="1"/>
  <c r="P24" i="71"/>
  <c r="R24" i="71" s="1"/>
  <c r="P23" i="71"/>
  <c r="R23" i="71" s="1"/>
  <c r="P22" i="71"/>
  <c r="U47" i="70"/>
  <c r="U46" i="70"/>
  <c r="U45" i="70"/>
  <c r="U44" i="70"/>
  <c r="U43" i="70"/>
  <c r="U42" i="70"/>
  <c r="U41" i="70"/>
  <c r="U40" i="70"/>
  <c r="U39" i="70"/>
  <c r="U38" i="70"/>
  <c r="U37" i="70"/>
  <c r="U36" i="70"/>
  <c r="U35" i="70"/>
  <c r="U34" i="70"/>
  <c r="U33" i="70"/>
  <c r="U32" i="70"/>
  <c r="U31" i="70"/>
  <c r="U30" i="70"/>
  <c r="U29" i="70"/>
  <c r="U28" i="70"/>
  <c r="U27" i="70"/>
  <c r="U26" i="70"/>
  <c r="U25" i="70"/>
  <c r="U24" i="70"/>
  <c r="U23" i="70"/>
  <c r="U22" i="70"/>
  <c r="N47" i="70"/>
  <c r="N46" i="70"/>
  <c r="N45" i="70"/>
  <c r="N44" i="70"/>
  <c r="N43" i="70"/>
  <c r="N42" i="70"/>
  <c r="P42" i="70" s="1"/>
  <c r="R42" i="70" s="1"/>
  <c r="N41" i="70"/>
  <c r="N40" i="70"/>
  <c r="N39" i="70"/>
  <c r="N38" i="70"/>
  <c r="N37" i="70"/>
  <c r="N36" i="70"/>
  <c r="N35" i="70"/>
  <c r="N34" i="70"/>
  <c r="N33" i="70"/>
  <c r="N32" i="70"/>
  <c r="N31" i="70"/>
  <c r="P31" i="70" s="1"/>
  <c r="R31" i="70" s="1"/>
  <c r="N30" i="70"/>
  <c r="N29" i="70"/>
  <c r="N28" i="70"/>
  <c r="N27" i="70"/>
  <c r="N26" i="70"/>
  <c r="P26" i="70" s="1"/>
  <c r="R26" i="70" s="1"/>
  <c r="N25" i="70"/>
  <c r="N24" i="70"/>
  <c r="N23" i="70"/>
  <c r="N22" i="70"/>
  <c r="I21" i="70"/>
  <c r="H21" i="70"/>
  <c r="G21" i="70"/>
  <c r="P47" i="70"/>
  <c r="R47" i="70" s="1"/>
  <c r="P46" i="70"/>
  <c r="R46" i="70" s="1"/>
  <c r="P45" i="70"/>
  <c r="R45" i="70" s="1"/>
  <c r="P44" i="70"/>
  <c r="R44" i="70" s="1"/>
  <c r="P43" i="70"/>
  <c r="R43" i="70" s="1"/>
  <c r="P41" i="70"/>
  <c r="R41" i="70" s="1"/>
  <c r="P39" i="70"/>
  <c r="R39" i="70" s="1"/>
  <c r="P38" i="70"/>
  <c r="R38" i="70" s="1"/>
  <c r="P37" i="70"/>
  <c r="R37" i="70" s="1"/>
  <c r="P36" i="70"/>
  <c r="R36" i="70" s="1"/>
  <c r="P35" i="70"/>
  <c r="R35" i="70" s="1"/>
  <c r="P34" i="70"/>
  <c r="R34" i="70" s="1"/>
  <c r="P33" i="70"/>
  <c r="R33" i="70" s="1"/>
  <c r="P32" i="70"/>
  <c r="R32" i="70" s="1"/>
  <c r="P29" i="70"/>
  <c r="R29" i="70" s="1"/>
  <c r="P28" i="70"/>
  <c r="R28" i="70" s="1"/>
  <c r="P27" i="70"/>
  <c r="R27" i="70" s="1"/>
  <c r="P25" i="70"/>
  <c r="R25" i="70" s="1"/>
  <c r="P24" i="70"/>
  <c r="R24" i="70" s="1"/>
  <c r="P23" i="70"/>
  <c r="R23" i="70" s="1"/>
  <c r="P22" i="70"/>
  <c r="U27" i="69"/>
  <c r="U26" i="69"/>
  <c r="U25" i="69"/>
  <c r="U24" i="69"/>
  <c r="U23" i="69"/>
  <c r="U22" i="69"/>
  <c r="N27" i="69"/>
  <c r="N26" i="69"/>
  <c r="P26" i="69" s="1"/>
  <c r="R26" i="69" s="1"/>
  <c r="N25" i="69"/>
  <c r="N24" i="69"/>
  <c r="N23" i="69"/>
  <c r="N22" i="69"/>
  <c r="I21" i="69"/>
  <c r="H21" i="69"/>
  <c r="G21" i="69"/>
  <c r="P27" i="69"/>
  <c r="R27" i="69" s="1"/>
  <c r="P25" i="69"/>
  <c r="R25" i="69" s="1"/>
  <c r="P24" i="69"/>
  <c r="R24" i="69" s="1"/>
  <c r="P23" i="69"/>
  <c r="R23" i="69" s="1"/>
  <c r="P22" i="69"/>
  <c r="R22" i="69" s="1"/>
  <c r="U38" i="68"/>
  <c r="U37" i="68"/>
  <c r="U36" i="68"/>
  <c r="U35" i="68"/>
  <c r="U34" i="68"/>
  <c r="U33" i="68"/>
  <c r="U32" i="68"/>
  <c r="U31" i="68"/>
  <c r="U30" i="68"/>
  <c r="U29" i="68"/>
  <c r="U28" i="68"/>
  <c r="U27" i="68"/>
  <c r="U26" i="68"/>
  <c r="U25" i="68"/>
  <c r="U24" i="68"/>
  <c r="U23" i="68"/>
  <c r="U22" i="68"/>
  <c r="N38" i="68"/>
  <c r="N37" i="68"/>
  <c r="N36" i="68"/>
  <c r="N35" i="68"/>
  <c r="N34" i="68"/>
  <c r="N33" i="68"/>
  <c r="N32" i="68"/>
  <c r="N31" i="68"/>
  <c r="N30" i="68"/>
  <c r="N29" i="68"/>
  <c r="N28" i="68"/>
  <c r="N27" i="68"/>
  <c r="N26" i="68"/>
  <c r="N25" i="68"/>
  <c r="N24" i="68"/>
  <c r="N23" i="68"/>
  <c r="N22" i="68"/>
  <c r="I21" i="68"/>
  <c r="H21" i="68"/>
  <c r="G21" i="68"/>
  <c r="P38" i="68"/>
  <c r="R38" i="68" s="1"/>
  <c r="P37" i="68"/>
  <c r="R37" i="68" s="1"/>
  <c r="P36" i="68"/>
  <c r="R36" i="68" s="1"/>
  <c r="P35" i="68"/>
  <c r="R35" i="68" s="1"/>
  <c r="P34" i="68"/>
  <c r="R34" i="68" s="1"/>
  <c r="P33" i="68"/>
  <c r="R33" i="68" s="1"/>
  <c r="P32" i="68"/>
  <c r="R32" i="68" s="1"/>
  <c r="P31" i="68"/>
  <c r="R31" i="68" s="1"/>
  <c r="P30" i="68"/>
  <c r="R30" i="68" s="1"/>
  <c r="P29" i="68"/>
  <c r="R29" i="68" s="1"/>
  <c r="P28" i="68"/>
  <c r="R28" i="68" s="1"/>
  <c r="P27" i="68"/>
  <c r="R27" i="68" s="1"/>
  <c r="P26" i="68"/>
  <c r="R26" i="68" s="1"/>
  <c r="P25" i="68"/>
  <c r="R25" i="68" s="1"/>
  <c r="P24" i="68"/>
  <c r="R24" i="68" s="1"/>
  <c r="P23" i="68"/>
  <c r="R23" i="68" s="1"/>
  <c r="P22" i="68"/>
  <c r="U22" i="67"/>
  <c r="N22" i="67"/>
  <c r="I21" i="67"/>
  <c r="H21" i="67"/>
  <c r="G21" i="67"/>
  <c r="P22" i="67"/>
  <c r="P21" i="67" s="1"/>
  <c r="U48" i="66"/>
  <c r="U47" i="66"/>
  <c r="U46" i="66"/>
  <c r="U45" i="66"/>
  <c r="U44" i="66"/>
  <c r="U43" i="66"/>
  <c r="U42" i="66"/>
  <c r="U41" i="66"/>
  <c r="U40" i="66"/>
  <c r="U39" i="66"/>
  <c r="U38" i="66"/>
  <c r="U37" i="66"/>
  <c r="U36" i="66"/>
  <c r="U35" i="66"/>
  <c r="U34" i="66"/>
  <c r="U33" i="66"/>
  <c r="U32" i="66"/>
  <c r="U31" i="66"/>
  <c r="U30" i="66"/>
  <c r="U29" i="66"/>
  <c r="U28" i="66"/>
  <c r="U27" i="66"/>
  <c r="U26" i="66"/>
  <c r="U25" i="66"/>
  <c r="U24" i="66"/>
  <c r="U23" i="66"/>
  <c r="U22" i="66"/>
  <c r="N48" i="66"/>
  <c r="N47" i="66"/>
  <c r="N46" i="66"/>
  <c r="N45" i="66"/>
  <c r="N44" i="66"/>
  <c r="N43" i="66"/>
  <c r="P43" i="66" s="1"/>
  <c r="R43" i="66" s="1"/>
  <c r="N42" i="66"/>
  <c r="N41" i="66"/>
  <c r="N40" i="66"/>
  <c r="N39" i="66"/>
  <c r="N38" i="66"/>
  <c r="P38" i="66" s="1"/>
  <c r="R38" i="66" s="1"/>
  <c r="N37" i="66"/>
  <c r="N36" i="66"/>
  <c r="P36" i="66" s="1"/>
  <c r="R36" i="66" s="1"/>
  <c r="N35" i="66"/>
  <c r="N34" i="66"/>
  <c r="N33" i="66"/>
  <c r="N32" i="66"/>
  <c r="N31" i="66"/>
  <c r="N30" i="66"/>
  <c r="N29" i="66"/>
  <c r="N28" i="66"/>
  <c r="N27" i="66"/>
  <c r="P27" i="66" s="1"/>
  <c r="R27" i="66" s="1"/>
  <c r="N26" i="66"/>
  <c r="N25" i="66"/>
  <c r="N24" i="66"/>
  <c r="N23" i="66"/>
  <c r="N22" i="66"/>
  <c r="I21" i="66"/>
  <c r="H21" i="66"/>
  <c r="G21" i="66"/>
  <c r="P48" i="66"/>
  <c r="R48" i="66" s="1"/>
  <c r="P46" i="66"/>
  <c r="R46" i="66" s="1"/>
  <c r="P45" i="66"/>
  <c r="R45" i="66" s="1"/>
  <c r="P44" i="66"/>
  <c r="R44" i="66" s="1"/>
  <c r="P41" i="66"/>
  <c r="R41" i="66" s="1"/>
  <c r="P40" i="66"/>
  <c r="R40" i="66" s="1"/>
  <c r="P39" i="66"/>
  <c r="R39" i="66" s="1"/>
  <c r="P37" i="66"/>
  <c r="R37" i="66" s="1"/>
  <c r="P35" i="66"/>
  <c r="R35" i="66" s="1"/>
  <c r="P34" i="66"/>
  <c r="R34" i="66" s="1"/>
  <c r="P33" i="66"/>
  <c r="R33" i="66" s="1"/>
  <c r="P32" i="66"/>
  <c r="R32" i="66" s="1"/>
  <c r="P31" i="66"/>
  <c r="R31" i="66" s="1"/>
  <c r="P30" i="66"/>
  <c r="R30" i="66" s="1"/>
  <c r="P29" i="66"/>
  <c r="R29" i="66" s="1"/>
  <c r="P28" i="66"/>
  <c r="R28" i="66" s="1"/>
  <c r="P26" i="66"/>
  <c r="R26" i="66" s="1"/>
  <c r="P25" i="66"/>
  <c r="R25" i="66" s="1"/>
  <c r="P24" i="66"/>
  <c r="R24" i="66" s="1"/>
  <c r="P23" i="66"/>
  <c r="R23" i="66" s="1"/>
  <c r="P22" i="66"/>
  <c r="R22" i="66" s="1"/>
  <c r="U66" i="65"/>
  <c r="U65" i="65"/>
  <c r="U64" i="65"/>
  <c r="U63" i="65"/>
  <c r="U62" i="65"/>
  <c r="U61" i="65"/>
  <c r="U60" i="65"/>
  <c r="U59" i="65"/>
  <c r="U58" i="65"/>
  <c r="U57" i="65"/>
  <c r="U56" i="65"/>
  <c r="U55" i="65"/>
  <c r="U54" i="65"/>
  <c r="U53" i="65"/>
  <c r="U52" i="65"/>
  <c r="U51" i="65"/>
  <c r="U50" i="65"/>
  <c r="U49" i="65"/>
  <c r="U48" i="65"/>
  <c r="U47" i="65"/>
  <c r="U46" i="65"/>
  <c r="U45" i="65"/>
  <c r="U44" i="65"/>
  <c r="U43" i="65"/>
  <c r="U42" i="65"/>
  <c r="U41" i="65"/>
  <c r="U40" i="65"/>
  <c r="U39" i="65"/>
  <c r="U38" i="65"/>
  <c r="U37" i="65"/>
  <c r="U36" i="65"/>
  <c r="U35" i="65"/>
  <c r="U34" i="65"/>
  <c r="U33" i="65"/>
  <c r="U32" i="65"/>
  <c r="U31" i="65"/>
  <c r="U30" i="65"/>
  <c r="U29" i="65"/>
  <c r="U28" i="65"/>
  <c r="U27" i="65"/>
  <c r="U26" i="65"/>
  <c r="U25" i="65"/>
  <c r="U24" i="65"/>
  <c r="U23" i="65"/>
  <c r="U22" i="65"/>
  <c r="N66" i="65"/>
  <c r="N65" i="65"/>
  <c r="P65" i="65" s="1"/>
  <c r="R65" i="65" s="1"/>
  <c r="N64" i="65"/>
  <c r="N63" i="65"/>
  <c r="N62" i="65"/>
  <c r="N61" i="65"/>
  <c r="N60" i="65"/>
  <c r="P60" i="65" s="1"/>
  <c r="R60" i="65" s="1"/>
  <c r="N59" i="65"/>
  <c r="N58" i="65"/>
  <c r="N57" i="65"/>
  <c r="N56" i="65"/>
  <c r="N55" i="65"/>
  <c r="N54" i="65"/>
  <c r="N53" i="65"/>
  <c r="P53" i="65" s="1"/>
  <c r="R53" i="65" s="1"/>
  <c r="N52" i="65"/>
  <c r="N51" i="65"/>
  <c r="P51" i="65" s="1"/>
  <c r="R51" i="65" s="1"/>
  <c r="N50" i="65"/>
  <c r="N49" i="65"/>
  <c r="P49" i="65" s="1"/>
  <c r="R49" i="65" s="1"/>
  <c r="N48" i="65"/>
  <c r="N47" i="65"/>
  <c r="N46" i="65"/>
  <c r="N45" i="65"/>
  <c r="N44" i="65"/>
  <c r="P44" i="65" s="1"/>
  <c r="R44" i="65" s="1"/>
  <c r="N43" i="65"/>
  <c r="N42" i="65"/>
  <c r="N41" i="65"/>
  <c r="N40" i="65"/>
  <c r="N39" i="65"/>
  <c r="N38" i="65"/>
  <c r="P38" i="65" s="1"/>
  <c r="R38" i="65" s="1"/>
  <c r="N37" i="65"/>
  <c r="P37" i="65" s="1"/>
  <c r="R37" i="65" s="1"/>
  <c r="N36" i="65"/>
  <c r="N35" i="65"/>
  <c r="P35" i="65" s="1"/>
  <c r="R35" i="65" s="1"/>
  <c r="N34" i="65"/>
  <c r="N33" i="65"/>
  <c r="P33" i="65" s="1"/>
  <c r="R33" i="65" s="1"/>
  <c r="N32" i="65"/>
  <c r="P32" i="65" s="1"/>
  <c r="R32" i="65" s="1"/>
  <c r="N31" i="65"/>
  <c r="N30" i="65"/>
  <c r="N29" i="65"/>
  <c r="N28" i="65"/>
  <c r="N27" i="65"/>
  <c r="P27" i="65" s="1"/>
  <c r="R27" i="65" s="1"/>
  <c r="N26" i="65"/>
  <c r="N25" i="65"/>
  <c r="N24" i="65"/>
  <c r="N23" i="65"/>
  <c r="P23" i="65" s="1"/>
  <c r="R23" i="65" s="1"/>
  <c r="N22" i="65"/>
  <c r="I21" i="65"/>
  <c r="H21" i="65"/>
  <c r="G21" i="65"/>
  <c r="P66" i="65"/>
  <c r="R66" i="65" s="1"/>
  <c r="P64" i="65"/>
  <c r="R64" i="65" s="1"/>
  <c r="P63" i="65"/>
  <c r="R63" i="65" s="1"/>
  <c r="P62" i="65"/>
  <c r="R62" i="65" s="1"/>
  <c r="P61" i="65"/>
  <c r="R61" i="65" s="1"/>
  <c r="P59" i="65"/>
  <c r="R59" i="65" s="1"/>
  <c r="P58" i="65"/>
  <c r="R58" i="65" s="1"/>
  <c r="P57" i="65"/>
  <c r="R57" i="65" s="1"/>
  <c r="P56" i="65"/>
  <c r="R56" i="65" s="1"/>
  <c r="P55" i="65"/>
  <c r="R55" i="65" s="1"/>
  <c r="P54" i="65"/>
  <c r="R54" i="65" s="1"/>
  <c r="P52" i="65"/>
  <c r="R52" i="65" s="1"/>
  <c r="P50" i="65"/>
  <c r="R50" i="65" s="1"/>
  <c r="P48" i="65"/>
  <c r="R48" i="65" s="1"/>
  <c r="P47" i="65"/>
  <c r="R47" i="65" s="1"/>
  <c r="P46" i="65"/>
  <c r="R46" i="65" s="1"/>
  <c r="P45" i="65"/>
  <c r="R45" i="65" s="1"/>
  <c r="P43" i="65"/>
  <c r="R43" i="65" s="1"/>
  <c r="P42" i="65"/>
  <c r="R42" i="65" s="1"/>
  <c r="P41" i="65"/>
  <c r="R41" i="65" s="1"/>
  <c r="P40" i="65"/>
  <c r="R40" i="65" s="1"/>
  <c r="P39" i="65"/>
  <c r="R39" i="65" s="1"/>
  <c r="P36" i="65"/>
  <c r="R36" i="65" s="1"/>
  <c r="P34" i="65"/>
  <c r="R34" i="65" s="1"/>
  <c r="P31" i="65"/>
  <c r="R31" i="65" s="1"/>
  <c r="P30" i="65"/>
  <c r="R30" i="65" s="1"/>
  <c r="P29" i="65"/>
  <c r="R29" i="65" s="1"/>
  <c r="P28" i="65"/>
  <c r="R28" i="65" s="1"/>
  <c r="P26" i="65"/>
  <c r="R26" i="65" s="1"/>
  <c r="P25" i="65"/>
  <c r="R25" i="65" s="1"/>
  <c r="P24" i="65"/>
  <c r="R24" i="65" s="1"/>
  <c r="P22" i="65"/>
  <c r="U24" i="64"/>
  <c r="U23" i="64"/>
  <c r="U22" i="64"/>
  <c r="N24" i="64"/>
  <c r="N23" i="64"/>
  <c r="N22" i="64"/>
  <c r="I21" i="64"/>
  <c r="H21" i="64"/>
  <c r="G21" i="64"/>
  <c r="P24" i="64"/>
  <c r="R24" i="64" s="1"/>
  <c r="P23" i="64"/>
  <c r="R23" i="64" s="1"/>
  <c r="P22" i="64"/>
  <c r="U61" i="63"/>
  <c r="U60" i="63"/>
  <c r="U59" i="63"/>
  <c r="U58" i="63"/>
  <c r="U57" i="63"/>
  <c r="U56" i="63"/>
  <c r="U55" i="63"/>
  <c r="U54" i="63"/>
  <c r="U53" i="63"/>
  <c r="U52" i="63"/>
  <c r="U51" i="63"/>
  <c r="U50" i="63"/>
  <c r="U49" i="63"/>
  <c r="U48" i="63"/>
  <c r="U47" i="63"/>
  <c r="U46" i="63"/>
  <c r="U45" i="63"/>
  <c r="U44" i="63"/>
  <c r="U43" i="63"/>
  <c r="U42" i="63"/>
  <c r="U41" i="63"/>
  <c r="U40" i="63"/>
  <c r="U39" i="63"/>
  <c r="U38" i="63"/>
  <c r="U37" i="63"/>
  <c r="U36" i="63"/>
  <c r="U35" i="63"/>
  <c r="U34" i="63"/>
  <c r="U33" i="63"/>
  <c r="U32" i="63"/>
  <c r="U31" i="63"/>
  <c r="U30" i="63"/>
  <c r="U29" i="63"/>
  <c r="U28" i="63"/>
  <c r="U27" i="63"/>
  <c r="U26" i="63"/>
  <c r="U25" i="63"/>
  <c r="U24" i="63"/>
  <c r="U23" i="63"/>
  <c r="U22" i="63"/>
  <c r="N61" i="63"/>
  <c r="P61" i="63" s="1"/>
  <c r="R61" i="63" s="1"/>
  <c r="N60" i="63"/>
  <c r="N59" i="63"/>
  <c r="N58" i="63"/>
  <c r="N57" i="63"/>
  <c r="N56" i="63"/>
  <c r="N55" i="63"/>
  <c r="N54" i="63"/>
  <c r="N53" i="63"/>
  <c r="N52" i="63"/>
  <c r="P52" i="63" s="1"/>
  <c r="R52" i="63" s="1"/>
  <c r="N51" i="63"/>
  <c r="N50" i="63"/>
  <c r="N49" i="63"/>
  <c r="N48" i="63"/>
  <c r="N47" i="63"/>
  <c r="P47" i="63" s="1"/>
  <c r="R47" i="63" s="1"/>
  <c r="N46" i="63"/>
  <c r="N45" i="63"/>
  <c r="N44" i="63"/>
  <c r="N43" i="63"/>
  <c r="N42" i="63"/>
  <c r="N41" i="63"/>
  <c r="N40" i="63"/>
  <c r="N39" i="63"/>
  <c r="N38" i="63"/>
  <c r="N37" i="63"/>
  <c r="N36" i="63"/>
  <c r="N35" i="63"/>
  <c r="N34" i="63"/>
  <c r="P34" i="63" s="1"/>
  <c r="R34" i="63" s="1"/>
  <c r="N33" i="63"/>
  <c r="N32" i="63"/>
  <c r="N31" i="63"/>
  <c r="N30" i="63"/>
  <c r="P30" i="63" s="1"/>
  <c r="R30" i="63" s="1"/>
  <c r="N29" i="63"/>
  <c r="N28" i="63"/>
  <c r="N27" i="63"/>
  <c r="N26" i="63"/>
  <c r="N25" i="63"/>
  <c r="N24" i="63"/>
  <c r="N23" i="63"/>
  <c r="N22" i="63"/>
  <c r="I21" i="63"/>
  <c r="H21" i="63"/>
  <c r="G21" i="63"/>
  <c r="P60" i="63"/>
  <c r="R60" i="63" s="1"/>
  <c r="P59" i="63"/>
  <c r="R59" i="63" s="1"/>
  <c r="P58" i="63"/>
  <c r="R58" i="63" s="1"/>
  <c r="P57" i="63"/>
  <c r="R57" i="63" s="1"/>
  <c r="P56" i="63"/>
  <c r="R56" i="63" s="1"/>
  <c r="P55" i="63"/>
  <c r="R55" i="63" s="1"/>
  <c r="P54" i="63"/>
  <c r="R54" i="63" s="1"/>
  <c r="R53" i="63"/>
  <c r="P53" i="63"/>
  <c r="P50" i="63"/>
  <c r="R50" i="63" s="1"/>
  <c r="P49" i="63"/>
  <c r="R49" i="63" s="1"/>
  <c r="P48" i="63"/>
  <c r="R48" i="63" s="1"/>
  <c r="P46" i="63"/>
  <c r="R46" i="63" s="1"/>
  <c r="P45" i="63"/>
  <c r="R45" i="63" s="1"/>
  <c r="P43" i="63"/>
  <c r="R43" i="63" s="1"/>
  <c r="R42" i="63"/>
  <c r="P42" i="63"/>
  <c r="P41" i="63"/>
  <c r="R41" i="63" s="1"/>
  <c r="P40" i="63"/>
  <c r="R40" i="63" s="1"/>
  <c r="P39" i="63"/>
  <c r="R39" i="63" s="1"/>
  <c r="P38" i="63"/>
  <c r="R38" i="63" s="1"/>
  <c r="P37" i="63"/>
  <c r="R37" i="63" s="1"/>
  <c r="P36" i="63"/>
  <c r="R36" i="63" s="1"/>
  <c r="P35" i="63"/>
  <c r="R35" i="63" s="1"/>
  <c r="P33" i="63"/>
  <c r="R33" i="63" s="1"/>
  <c r="P32" i="63"/>
  <c r="R32" i="63" s="1"/>
  <c r="P31" i="63"/>
  <c r="R31" i="63" s="1"/>
  <c r="P29" i="63"/>
  <c r="R29" i="63" s="1"/>
  <c r="P28" i="63"/>
  <c r="R28" i="63" s="1"/>
  <c r="P27" i="63"/>
  <c r="R27" i="63" s="1"/>
  <c r="P26" i="63"/>
  <c r="R26" i="63" s="1"/>
  <c r="P25" i="63"/>
  <c r="R25" i="63" s="1"/>
  <c r="P24" i="63"/>
  <c r="R24" i="63" s="1"/>
  <c r="P23" i="63"/>
  <c r="R23" i="63" s="1"/>
  <c r="P22" i="63"/>
  <c r="R22" i="63" s="1"/>
  <c r="U34" i="62"/>
  <c r="U33" i="62"/>
  <c r="U32" i="62"/>
  <c r="U31" i="62"/>
  <c r="U30" i="62"/>
  <c r="U29" i="62"/>
  <c r="U28" i="62"/>
  <c r="U27" i="62"/>
  <c r="U26" i="62"/>
  <c r="U25" i="62"/>
  <c r="U24" i="62"/>
  <c r="U23" i="62"/>
  <c r="U22" i="62"/>
  <c r="N34" i="62"/>
  <c r="N33" i="62"/>
  <c r="N32" i="62"/>
  <c r="N31" i="62"/>
  <c r="N30" i="62"/>
  <c r="N29" i="62"/>
  <c r="N28" i="62"/>
  <c r="N27" i="62"/>
  <c r="N26" i="62"/>
  <c r="N25" i="62"/>
  <c r="N24" i="62"/>
  <c r="N23" i="62"/>
  <c r="N22" i="62"/>
  <c r="I21" i="62"/>
  <c r="H21" i="62"/>
  <c r="G21" i="62"/>
  <c r="P34" i="62"/>
  <c r="R34" i="62" s="1"/>
  <c r="P33" i="62"/>
  <c r="R33" i="62" s="1"/>
  <c r="P32" i="62"/>
  <c r="R32" i="62" s="1"/>
  <c r="P31" i="62"/>
  <c r="R31" i="62" s="1"/>
  <c r="P30" i="62"/>
  <c r="R30" i="62" s="1"/>
  <c r="P29" i="62"/>
  <c r="R29" i="62" s="1"/>
  <c r="P28" i="62"/>
  <c r="R28" i="62" s="1"/>
  <c r="P27" i="62"/>
  <c r="R27" i="62" s="1"/>
  <c r="P26" i="62"/>
  <c r="R26" i="62" s="1"/>
  <c r="P25" i="62"/>
  <c r="R25" i="62" s="1"/>
  <c r="P24" i="62"/>
  <c r="R24" i="62" s="1"/>
  <c r="P23" i="62"/>
  <c r="R23" i="62" s="1"/>
  <c r="P22" i="62"/>
  <c r="U106" i="61"/>
  <c r="U105" i="61"/>
  <c r="U104" i="61"/>
  <c r="U103" i="61"/>
  <c r="U102" i="61"/>
  <c r="U101" i="61"/>
  <c r="U100" i="61"/>
  <c r="U99" i="61"/>
  <c r="U98" i="61"/>
  <c r="U97" i="61"/>
  <c r="U96" i="61"/>
  <c r="U95" i="61"/>
  <c r="U94" i="61"/>
  <c r="U93" i="61"/>
  <c r="U92" i="61"/>
  <c r="U91" i="61"/>
  <c r="U90" i="61"/>
  <c r="U89" i="61"/>
  <c r="U88" i="61"/>
  <c r="U87" i="61"/>
  <c r="U86" i="61"/>
  <c r="U85" i="61"/>
  <c r="U84" i="61"/>
  <c r="U83" i="61"/>
  <c r="U82" i="61"/>
  <c r="U81" i="61"/>
  <c r="U80" i="61"/>
  <c r="U79" i="61"/>
  <c r="U78" i="61"/>
  <c r="U77" i="61"/>
  <c r="U76" i="61"/>
  <c r="U75" i="61"/>
  <c r="U74" i="61"/>
  <c r="U73" i="61"/>
  <c r="U72" i="61"/>
  <c r="U71" i="61"/>
  <c r="U70" i="61"/>
  <c r="U69" i="61"/>
  <c r="U68" i="61"/>
  <c r="U67" i="61"/>
  <c r="U66" i="61"/>
  <c r="U65" i="61"/>
  <c r="U64" i="61"/>
  <c r="U63" i="61"/>
  <c r="U62" i="61"/>
  <c r="U61" i="61"/>
  <c r="U60" i="61"/>
  <c r="U59" i="61"/>
  <c r="U58" i="61"/>
  <c r="U57" i="61"/>
  <c r="U56" i="61"/>
  <c r="U55" i="61"/>
  <c r="U54" i="61"/>
  <c r="U53" i="61"/>
  <c r="U52" i="61"/>
  <c r="U51" i="61"/>
  <c r="U50" i="61"/>
  <c r="U49" i="61"/>
  <c r="U48" i="61"/>
  <c r="U47" i="61"/>
  <c r="U46" i="61"/>
  <c r="U45" i="61"/>
  <c r="U44" i="61"/>
  <c r="U43" i="61"/>
  <c r="U42" i="61"/>
  <c r="U41" i="61"/>
  <c r="U40" i="61"/>
  <c r="U39" i="61"/>
  <c r="U38" i="61"/>
  <c r="U37" i="61"/>
  <c r="U36" i="61"/>
  <c r="U35" i="61"/>
  <c r="U34" i="61"/>
  <c r="U33" i="61"/>
  <c r="U32" i="61"/>
  <c r="U31" i="61"/>
  <c r="U30" i="61"/>
  <c r="U29" i="61"/>
  <c r="U28" i="61"/>
  <c r="U27" i="61"/>
  <c r="U26" i="61"/>
  <c r="U25" i="61"/>
  <c r="U24" i="61"/>
  <c r="U23" i="61"/>
  <c r="U22" i="61"/>
  <c r="N106" i="61"/>
  <c r="N105" i="61"/>
  <c r="N104" i="61"/>
  <c r="N103" i="61"/>
  <c r="N102" i="61"/>
  <c r="N101" i="61"/>
  <c r="P101" i="61" s="1"/>
  <c r="R101" i="61" s="1"/>
  <c r="N100" i="61"/>
  <c r="N99" i="61"/>
  <c r="N98" i="61"/>
  <c r="N97" i="61"/>
  <c r="P97" i="61" s="1"/>
  <c r="R97" i="61" s="1"/>
  <c r="N96" i="61"/>
  <c r="P96" i="61" s="1"/>
  <c r="R96" i="61" s="1"/>
  <c r="N95" i="61"/>
  <c r="P95" i="61" s="1"/>
  <c r="R95" i="61" s="1"/>
  <c r="N94" i="61"/>
  <c r="N93" i="61"/>
  <c r="N92" i="61"/>
  <c r="N91" i="61"/>
  <c r="N90" i="61"/>
  <c r="N89" i="61"/>
  <c r="N88" i="61"/>
  <c r="N87" i="61"/>
  <c r="N86" i="61"/>
  <c r="N85" i="61"/>
  <c r="P85" i="61" s="1"/>
  <c r="R85" i="61" s="1"/>
  <c r="N84" i="61"/>
  <c r="N83" i="61"/>
  <c r="N82" i="61"/>
  <c r="N81" i="61"/>
  <c r="P81" i="61" s="1"/>
  <c r="R81" i="61" s="1"/>
  <c r="N80" i="61"/>
  <c r="P80" i="61" s="1"/>
  <c r="R80" i="61" s="1"/>
  <c r="N79" i="61"/>
  <c r="N78" i="61"/>
  <c r="N77" i="61"/>
  <c r="N76" i="61"/>
  <c r="N75" i="61"/>
  <c r="N74" i="61"/>
  <c r="P74" i="61" s="1"/>
  <c r="R74" i="61" s="1"/>
  <c r="N73" i="61"/>
  <c r="N72" i="61"/>
  <c r="N71" i="61"/>
  <c r="N70" i="61"/>
  <c r="N69" i="61"/>
  <c r="N68" i="61"/>
  <c r="N67" i="61"/>
  <c r="N66" i="61"/>
  <c r="N65" i="61"/>
  <c r="P65" i="61" s="1"/>
  <c r="R65" i="61" s="1"/>
  <c r="N64" i="61"/>
  <c r="P64" i="61" s="1"/>
  <c r="R64" i="61" s="1"/>
  <c r="N63" i="61"/>
  <c r="N62" i="61"/>
  <c r="N61" i="61"/>
  <c r="N60" i="61"/>
  <c r="N59" i="61"/>
  <c r="N58" i="61"/>
  <c r="P58" i="61" s="1"/>
  <c r="R58" i="61" s="1"/>
  <c r="N57" i="61"/>
  <c r="N56" i="61"/>
  <c r="N55" i="61"/>
  <c r="N54" i="61"/>
  <c r="N53" i="61"/>
  <c r="N52" i="61"/>
  <c r="N51" i="61"/>
  <c r="N50" i="61"/>
  <c r="N49" i="61"/>
  <c r="P49" i="61" s="1"/>
  <c r="R49" i="61" s="1"/>
  <c r="N48" i="61"/>
  <c r="P48" i="61" s="1"/>
  <c r="R48" i="61" s="1"/>
  <c r="N47" i="61"/>
  <c r="N46" i="61"/>
  <c r="P46" i="61" s="1"/>
  <c r="R46" i="61" s="1"/>
  <c r="N45" i="61"/>
  <c r="N44" i="61"/>
  <c r="N43" i="61"/>
  <c r="N42" i="61"/>
  <c r="N41" i="61"/>
  <c r="N40" i="61"/>
  <c r="N39" i="61"/>
  <c r="N38" i="61"/>
  <c r="N37" i="61"/>
  <c r="P37" i="61" s="1"/>
  <c r="R37" i="61" s="1"/>
  <c r="N36" i="61"/>
  <c r="N35" i="61"/>
  <c r="N34" i="61"/>
  <c r="N33" i="61"/>
  <c r="P33" i="61" s="1"/>
  <c r="R33" i="61" s="1"/>
  <c r="N32" i="61"/>
  <c r="P32" i="61" s="1"/>
  <c r="R32" i="61" s="1"/>
  <c r="N31" i="61"/>
  <c r="N30" i="61"/>
  <c r="N29" i="61"/>
  <c r="N28" i="61"/>
  <c r="N27" i="61"/>
  <c r="N26" i="61"/>
  <c r="N25" i="61"/>
  <c r="N24" i="61"/>
  <c r="N23" i="61"/>
  <c r="N22" i="61"/>
  <c r="I21" i="61"/>
  <c r="H21" i="61"/>
  <c r="G21" i="61"/>
  <c r="P106" i="61"/>
  <c r="R106" i="61" s="1"/>
  <c r="P105" i="61"/>
  <c r="R105" i="61" s="1"/>
  <c r="P104" i="61"/>
  <c r="R104" i="61" s="1"/>
  <c r="P103" i="61"/>
  <c r="R103" i="61" s="1"/>
  <c r="P102" i="61"/>
  <c r="R102" i="61" s="1"/>
  <c r="P100" i="61"/>
  <c r="R100" i="61" s="1"/>
  <c r="P99" i="61"/>
  <c r="R99" i="61" s="1"/>
  <c r="P98" i="61"/>
  <c r="R98" i="61" s="1"/>
  <c r="P94" i="61"/>
  <c r="R94" i="61" s="1"/>
  <c r="P93" i="61"/>
  <c r="R93" i="61" s="1"/>
  <c r="P92" i="61"/>
  <c r="R92" i="61" s="1"/>
  <c r="P91" i="61"/>
  <c r="R91" i="61" s="1"/>
  <c r="P88" i="61"/>
  <c r="R88" i="61" s="1"/>
  <c r="P87" i="61"/>
  <c r="R87" i="61" s="1"/>
  <c r="P86" i="61"/>
  <c r="R86" i="61" s="1"/>
  <c r="P84" i="61"/>
  <c r="R84" i="61" s="1"/>
  <c r="P83" i="61"/>
  <c r="R83" i="61" s="1"/>
  <c r="P82" i="61"/>
  <c r="R82" i="61" s="1"/>
  <c r="P79" i="61"/>
  <c r="R79" i="61" s="1"/>
  <c r="P78" i="61"/>
  <c r="R78" i="61" s="1"/>
  <c r="P77" i="61"/>
  <c r="R77" i="61" s="1"/>
  <c r="P76" i="61"/>
  <c r="R76" i="61" s="1"/>
  <c r="P75" i="61"/>
  <c r="R75" i="61" s="1"/>
  <c r="R73" i="61"/>
  <c r="P73" i="61"/>
  <c r="P72" i="61"/>
  <c r="R72" i="61" s="1"/>
  <c r="P71" i="61"/>
  <c r="R71" i="61" s="1"/>
  <c r="P70" i="61"/>
  <c r="R70" i="61" s="1"/>
  <c r="P69" i="61"/>
  <c r="R69" i="61" s="1"/>
  <c r="P68" i="61"/>
  <c r="R68" i="61" s="1"/>
  <c r="P67" i="61"/>
  <c r="R67" i="61" s="1"/>
  <c r="P66" i="61"/>
  <c r="R66" i="61" s="1"/>
  <c r="P62" i="61"/>
  <c r="R62" i="61" s="1"/>
  <c r="P61" i="61"/>
  <c r="R61" i="61" s="1"/>
  <c r="P60" i="61"/>
  <c r="R60" i="61" s="1"/>
  <c r="P59" i="61"/>
  <c r="R59" i="61" s="1"/>
  <c r="P57" i="61"/>
  <c r="R57" i="61" s="1"/>
  <c r="P56" i="61"/>
  <c r="R56" i="61" s="1"/>
  <c r="P55" i="61"/>
  <c r="R55" i="61" s="1"/>
  <c r="P54" i="61"/>
  <c r="R54" i="61" s="1"/>
  <c r="P53" i="61"/>
  <c r="R53" i="61" s="1"/>
  <c r="P52" i="61"/>
  <c r="R52" i="61" s="1"/>
  <c r="P51" i="61"/>
  <c r="R51" i="61" s="1"/>
  <c r="P50" i="61"/>
  <c r="R50" i="61" s="1"/>
  <c r="P47" i="61"/>
  <c r="R47" i="61" s="1"/>
  <c r="P45" i="61"/>
  <c r="R45" i="61" s="1"/>
  <c r="P44" i="61"/>
  <c r="R44" i="61" s="1"/>
  <c r="P43" i="61"/>
  <c r="R43" i="61" s="1"/>
  <c r="P41" i="61"/>
  <c r="R41" i="61" s="1"/>
  <c r="P40" i="61"/>
  <c r="R40" i="61" s="1"/>
  <c r="P39" i="61"/>
  <c r="R39" i="61" s="1"/>
  <c r="P38" i="61"/>
  <c r="R38" i="61" s="1"/>
  <c r="P36" i="61"/>
  <c r="R36" i="61" s="1"/>
  <c r="P35" i="61"/>
  <c r="R35" i="61" s="1"/>
  <c r="P34" i="61"/>
  <c r="R34" i="61" s="1"/>
  <c r="P29" i="61"/>
  <c r="R29" i="61" s="1"/>
  <c r="P28" i="61"/>
  <c r="R28" i="61" s="1"/>
  <c r="P27" i="61"/>
  <c r="R27" i="61" s="1"/>
  <c r="P26" i="61"/>
  <c r="R26" i="61" s="1"/>
  <c r="P24" i="61"/>
  <c r="R24" i="61" s="1"/>
  <c r="P23" i="61"/>
  <c r="R23" i="61" s="1"/>
  <c r="P22" i="61"/>
  <c r="R22" i="61" s="1"/>
  <c r="U57" i="60"/>
  <c r="U56" i="60"/>
  <c r="U55" i="60"/>
  <c r="U54" i="60"/>
  <c r="U53" i="60"/>
  <c r="U52" i="60"/>
  <c r="U51" i="60"/>
  <c r="U50" i="60"/>
  <c r="U49" i="60"/>
  <c r="U48" i="60"/>
  <c r="U47" i="60"/>
  <c r="U46" i="60"/>
  <c r="U45" i="60"/>
  <c r="U44" i="60"/>
  <c r="U43" i="60"/>
  <c r="U42" i="60"/>
  <c r="U41" i="60"/>
  <c r="U40" i="60"/>
  <c r="U39" i="60"/>
  <c r="U38" i="60"/>
  <c r="U37" i="60"/>
  <c r="U36" i="60"/>
  <c r="U35" i="60"/>
  <c r="U34" i="60"/>
  <c r="U33" i="60"/>
  <c r="U32" i="60"/>
  <c r="U31" i="60"/>
  <c r="U30" i="60"/>
  <c r="U29" i="60"/>
  <c r="U28" i="60"/>
  <c r="U27" i="60"/>
  <c r="U26" i="60"/>
  <c r="U25" i="60"/>
  <c r="U24" i="60"/>
  <c r="U23" i="60"/>
  <c r="U22" i="60"/>
  <c r="N57" i="60"/>
  <c r="P57" i="60" s="1"/>
  <c r="R57" i="60" s="1"/>
  <c r="N56" i="60"/>
  <c r="P56" i="60" s="1"/>
  <c r="R56" i="60" s="1"/>
  <c r="N55" i="60"/>
  <c r="N54" i="60"/>
  <c r="N53" i="60"/>
  <c r="N52" i="60"/>
  <c r="N51" i="60"/>
  <c r="N50" i="60"/>
  <c r="N49" i="60"/>
  <c r="N48" i="60"/>
  <c r="N47" i="60"/>
  <c r="N46" i="60"/>
  <c r="N45" i="60"/>
  <c r="P45" i="60" s="1"/>
  <c r="R45" i="60" s="1"/>
  <c r="N44" i="60"/>
  <c r="N43" i="60"/>
  <c r="N42" i="60"/>
  <c r="N41" i="60"/>
  <c r="P41" i="60" s="1"/>
  <c r="R41" i="60" s="1"/>
  <c r="N40" i="60"/>
  <c r="P40" i="60" s="1"/>
  <c r="R40" i="60" s="1"/>
  <c r="N39" i="60"/>
  <c r="N38" i="60"/>
  <c r="P38" i="60" s="1"/>
  <c r="R38" i="60" s="1"/>
  <c r="N37" i="60"/>
  <c r="N36" i="60"/>
  <c r="N35" i="60"/>
  <c r="N34" i="60"/>
  <c r="N33" i="60"/>
  <c r="N32" i="60"/>
  <c r="N31" i="60"/>
  <c r="N30" i="60"/>
  <c r="N29" i="60"/>
  <c r="P29" i="60" s="1"/>
  <c r="R29" i="60" s="1"/>
  <c r="N28" i="60"/>
  <c r="N27" i="60"/>
  <c r="N26" i="60"/>
  <c r="N25" i="60"/>
  <c r="P25" i="60" s="1"/>
  <c r="R25" i="60" s="1"/>
  <c r="N24" i="60"/>
  <c r="P24" i="60" s="1"/>
  <c r="R24" i="60" s="1"/>
  <c r="N23" i="60"/>
  <c r="N22" i="60"/>
  <c r="P22" i="60" s="1"/>
  <c r="I21" i="60"/>
  <c r="H21" i="60"/>
  <c r="G21" i="60"/>
  <c r="P54" i="60"/>
  <c r="R54" i="60" s="1"/>
  <c r="P53" i="60"/>
  <c r="R53" i="60" s="1"/>
  <c r="P52" i="60"/>
  <c r="R52" i="60" s="1"/>
  <c r="P51" i="60"/>
  <c r="R51" i="60" s="1"/>
  <c r="P50" i="60"/>
  <c r="R50" i="60" s="1"/>
  <c r="P49" i="60"/>
  <c r="R49" i="60" s="1"/>
  <c r="P48" i="60"/>
  <c r="R48" i="60" s="1"/>
  <c r="P47" i="60"/>
  <c r="R47" i="60" s="1"/>
  <c r="P46" i="60"/>
  <c r="R46" i="60" s="1"/>
  <c r="P44" i="60"/>
  <c r="R44" i="60" s="1"/>
  <c r="P43" i="60"/>
  <c r="R43" i="60" s="1"/>
  <c r="P42" i="60"/>
  <c r="R42" i="60" s="1"/>
  <c r="P39" i="60"/>
  <c r="R39" i="60" s="1"/>
  <c r="P37" i="60"/>
  <c r="R37" i="60" s="1"/>
  <c r="P36" i="60"/>
  <c r="R36" i="60" s="1"/>
  <c r="P35" i="60"/>
  <c r="R35" i="60" s="1"/>
  <c r="P34" i="60"/>
  <c r="R34" i="60" s="1"/>
  <c r="P33" i="60"/>
  <c r="R33" i="60" s="1"/>
  <c r="P32" i="60"/>
  <c r="R32" i="60" s="1"/>
  <c r="P31" i="60"/>
  <c r="R31" i="60" s="1"/>
  <c r="P30" i="60"/>
  <c r="R30" i="60" s="1"/>
  <c r="P28" i="60"/>
  <c r="R28" i="60" s="1"/>
  <c r="P27" i="60"/>
  <c r="R27" i="60" s="1"/>
  <c r="P26" i="60"/>
  <c r="R26" i="60" s="1"/>
  <c r="P23" i="60"/>
  <c r="R23" i="60" s="1"/>
  <c r="E26" i="54"/>
  <c r="R26" i="54" s="1"/>
  <c r="E25" i="54"/>
  <c r="R25" i="54" s="1"/>
  <c r="E24" i="54"/>
  <c r="R24" i="54" s="1"/>
  <c r="E23" i="54"/>
  <c r="I23" i="54" s="1"/>
  <c r="Q23" i="54" s="1"/>
  <c r="E22" i="54"/>
  <c r="R22" i="54" s="1"/>
  <c r="E21" i="54"/>
  <c r="R21" i="54" s="1"/>
  <c r="E20" i="54"/>
  <c r="R20" i="54" s="1"/>
  <c r="E19" i="54"/>
  <c r="R19" i="54" s="1"/>
  <c r="E18" i="54"/>
  <c r="R18" i="54" s="1"/>
  <c r="E17" i="54"/>
  <c r="R17" i="54" s="1"/>
  <c r="E16" i="54"/>
  <c r="R16" i="54" s="1"/>
  <c r="E15" i="54"/>
  <c r="R15" i="54" s="1"/>
  <c r="E14" i="54"/>
  <c r="R14" i="54" s="1"/>
  <c r="E13" i="54"/>
  <c r="R13" i="54" s="1"/>
  <c r="E12" i="54"/>
  <c r="R12" i="54" s="1"/>
  <c r="E11" i="54"/>
  <c r="I11" i="54" s="1"/>
  <c r="Q11" i="54" s="1"/>
  <c r="E10" i="54"/>
  <c r="R10" i="54" s="1"/>
  <c r="E9" i="54"/>
  <c r="R9" i="54" s="1"/>
  <c r="E8" i="54"/>
  <c r="R8" i="54" s="1"/>
  <c r="E7" i="54"/>
  <c r="R7" i="54" s="1"/>
  <c r="E6" i="54"/>
  <c r="R6" i="54" s="1"/>
  <c r="E5" i="54"/>
  <c r="R5" i="54" s="1"/>
  <c r="I6" i="25"/>
  <c r="K6" i="25" s="1"/>
  <c r="F9" i="53"/>
  <c r="G9" i="53" s="1"/>
  <c r="F8" i="53"/>
  <c r="G8" i="53" s="1"/>
  <c r="F7" i="53"/>
  <c r="G7" i="53" s="1"/>
  <c r="F6" i="53"/>
  <c r="G6" i="53" s="1"/>
  <c r="F5" i="53"/>
  <c r="G5" i="53" s="1"/>
  <c r="L49" i="77"/>
  <c r="M49" i="77" s="1"/>
  <c r="T49" i="77" s="1"/>
  <c r="L48" i="77"/>
  <c r="M48" i="77" s="1"/>
  <c r="L47" i="77"/>
  <c r="M47" i="77" s="1"/>
  <c r="L44" i="77"/>
  <c r="M44" i="77" s="1"/>
  <c r="L42" i="77"/>
  <c r="M42" i="77" s="1"/>
  <c r="T42" i="77" s="1"/>
  <c r="L38" i="77"/>
  <c r="M38" i="77" s="1"/>
  <c r="T38" i="77" s="1"/>
  <c r="L37" i="77"/>
  <c r="M37" i="77" s="1"/>
  <c r="T37" i="77" s="1"/>
  <c r="L36" i="77"/>
  <c r="M36" i="77" s="1"/>
  <c r="T36" i="77" s="1"/>
  <c r="L35" i="77"/>
  <c r="M35" i="77" s="1"/>
  <c r="L34" i="77"/>
  <c r="M34" i="77" s="1"/>
  <c r="T34" i="77" s="1"/>
  <c r="L33" i="77"/>
  <c r="M33" i="77" s="1"/>
  <c r="T33" i="77" s="1"/>
  <c r="L32" i="77"/>
  <c r="M32" i="77" s="1"/>
  <c r="L28" i="77"/>
  <c r="M28" i="77" s="1"/>
  <c r="L27" i="77"/>
  <c r="M27" i="77" s="1"/>
  <c r="L26" i="77"/>
  <c r="M26" i="77" s="1"/>
  <c r="T26" i="77" s="1"/>
  <c r="L23" i="77"/>
  <c r="M23" i="77" s="1"/>
  <c r="T23" i="77" s="1"/>
  <c r="L22" i="77"/>
  <c r="L56" i="76"/>
  <c r="M56" i="76" s="1"/>
  <c r="L45" i="76"/>
  <c r="M45" i="76" s="1"/>
  <c r="L34" i="76"/>
  <c r="M34" i="76" s="1"/>
  <c r="L33" i="76"/>
  <c r="M33" i="76" s="1"/>
  <c r="L32" i="76"/>
  <c r="M32" i="76" s="1"/>
  <c r="L23" i="76"/>
  <c r="M23" i="76" s="1"/>
  <c r="L46" i="75"/>
  <c r="M46" i="75" s="1"/>
  <c r="L45" i="75"/>
  <c r="M45" i="75" s="1"/>
  <c r="L44" i="75"/>
  <c r="M44" i="75" s="1"/>
  <c r="S44" i="75" s="1"/>
  <c r="L43" i="75"/>
  <c r="M43" i="75" s="1"/>
  <c r="L42" i="75"/>
  <c r="M42" i="75" s="1"/>
  <c r="L41" i="75"/>
  <c r="M41" i="75" s="1"/>
  <c r="L40" i="75"/>
  <c r="M40" i="75" s="1"/>
  <c r="S40" i="75" s="1"/>
  <c r="L39" i="75"/>
  <c r="M39" i="75" s="1"/>
  <c r="S39" i="75" s="1"/>
  <c r="L38" i="75"/>
  <c r="M38" i="75" s="1"/>
  <c r="S38" i="75" s="1"/>
  <c r="L37" i="75"/>
  <c r="M37" i="75" s="1"/>
  <c r="L36" i="75"/>
  <c r="M36" i="75" s="1"/>
  <c r="L35" i="75"/>
  <c r="M35" i="75" s="1"/>
  <c r="S35" i="75" s="1"/>
  <c r="L34" i="75"/>
  <c r="M34" i="75" s="1"/>
  <c r="L33" i="75"/>
  <c r="M33" i="75" s="1"/>
  <c r="S33" i="75" s="1"/>
  <c r="L32" i="75"/>
  <c r="M32" i="75" s="1"/>
  <c r="S32" i="75" s="1"/>
  <c r="L31" i="75"/>
  <c r="M31" i="75" s="1"/>
  <c r="S31" i="75" s="1"/>
  <c r="L30" i="75"/>
  <c r="M30" i="75" s="1"/>
  <c r="S30" i="75" s="1"/>
  <c r="L29" i="75"/>
  <c r="M29" i="75" s="1"/>
  <c r="L28" i="75"/>
  <c r="M28" i="75" s="1"/>
  <c r="S28" i="75" s="1"/>
  <c r="L27" i="75"/>
  <c r="M27" i="75" s="1"/>
  <c r="L26" i="75"/>
  <c r="M26" i="75" s="1"/>
  <c r="L25" i="75"/>
  <c r="M25" i="75" s="1"/>
  <c r="S25" i="75" s="1"/>
  <c r="L24" i="75"/>
  <c r="M24" i="75" s="1"/>
  <c r="S24" i="75" s="1"/>
  <c r="L23" i="75"/>
  <c r="M23" i="75" s="1"/>
  <c r="S23" i="75" s="1"/>
  <c r="L22" i="75"/>
  <c r="L33" i="74"/>
  <c r="M33" i="74" s="1"/>
  <c r="L32" i="74"/>
  <c r="L31" i="74"/>
  <c r="M31" i="74" s="1"/>
  <c r="S31" i="74" s="1"/>
  <c r="L30" i="74"/>
  <c r="M30" i="74" s="1"/>
  <c r="S30" i="74" s="1"/>
  <c r="L29" i="74"/>
  <c r="M29" i="74" s="1"/>
  <c r="S29" i="74" s="1"/>
  <c r="L28" i="74"/>
  <c r="M28" i="74" s="1"/>
  <c r="L27" i="74"/>
  <c r="M27" i="74" s="1"/>
  <c r="S27" i="74" s="1"/>
  <c r="L26" i="74"/>
  <c r="M26" i="74" s="1"/>
  <c r="S26" i="74" s="1"/>
  <c r="L25" i="74"/>
  <c r="M25" i="74" s="1"/>
  <c r="S25" i="74" s="1"/>
  <c r="L24" i="74"/>
  <c r="M24" i="74" s="1"/>
  <c r="S24" i="74" s="1"/>
  <c r="L23" i="74"/>
  <c r="M23" i="74" s="1"/>
  <c r="S23" i="74" s="1"/>
  <c r="L22" i="74"/>
  <c r="L105" i="73"/>
  <c r="M105" i="73" s="1"/>
  <c r="L104" i="73"/>
  <c r="M104" i="73" s="1"/>
  <c r="L103" i="73"/>
  <c r="M103" i="73" s="1"/>
  <c r="L102" i="73"/>
  <c r="M102" i="73" s="1"/>
  <c r="L101" i="73"/>
  <c r="M101" i="73" s="1"/>
  <c r="L100" i="73"/>
  <c r="M100" i="73" s="1"/>
  <c r="L99" i="73"/>
  <c r="M99" i="73" s="1"/>
  <c r="L98" i="73"/>
  <c r="M98" i="73" s="1"/>
  <c r="L97" i="73"/>
  <c r="M97" i="73" s="1"/>
  <c r="L96" i="73"/>
  <c r="M96" i="73" s="1"/>
  <c r="L95" i="73"/>
  <c r="M95" i="73" s="1"/>
  <c r="L94" i="73"/>
  <c r="M94" i="73" s="1"/>
  <c r="L93" i="73"/>
  <c r="M93" i="73" s="1"/>
  <c r="L92" i="73"/>
  <c r="M92" i="73" s="1"/>
  <c r="L91" i="73"/>
  <c r="M91" i="73" s="1"/>
  <c r="L90" i="73"/>
  <c r="M90" i="73" s="1"/>
  <c r="L89" i="73"/>
  <c r="M89" i="73" s="1"/>
  <c r="L88" i="73"/>
  <c r="M88" i="73" s="1"/>
  <c r="L87" i="73"/>
  <c r="M87" i="73" s="1"/>
  <c r="L86" i="73"/>
  <c r="M86" i="73" s="1"/>
  <c r="L85" i="73"/>
  <c r="M85" i="73" s="1"/>
  <c r="L84" i="73"/>
  <c r="M84" i="73" s="1"/>
  <c r="L83" i="73"/>
  <c r="M83" i="73" s="1"/>
  <c r="L82" i="73"/>
  <c r="M82" i="73" s="1"/>
  <c r="L81" i="73"/>
  <c r="M81" i="73" s="1"/>
  <c r="L80" i="73"/>
  <c r="M80" i="73" s="1"/>
  <c r="L79" i="73"/>
  <c r="M79" i="73" s="1"/>
  <c r="L78" i="73"/>
  <c r="M78" i="73" s="1"/>
  <c r="L77" i="73"/>
  <c r="M77" i="73" s="1"/>
  <c r="L76" i="73"/>
  <c r="M76" i="73" s="1"/>
  <c r="L75" i="73"/>
  <c r="M75" i="73" s="1"/>
  <c r="L74" i="73"/>
  <c r="M74" i="73" s="1"/>
  <c r="L73" i="73"/>
  <c r="M73" i="73" s="1"/>
  <c r="L72" i="73"/>
  <c r="M72" i="73" s="1"/>
  <c r="L71" i="73"/>
  <c r="M71" i="73" s="1"/>
  <c r="L70" i="73"/>
  <c r="M70" i="73" s="1"/>
  <c r="L69" i="73"/>
  <c r="M69" i="73" s="1"/>
  <c r="L68" i="73"/>
  <c r="M68" i="73" s="1"/>
  <c r="L67" i="73"/>
  <c r="M67" i="73" s="1"/>
  <c r="L66" i="73"/>
  <c r="M66" i="73" s="1"/>
  <c r="L65" i="73"/>
  <c r="M65" i="73" s="1"/>
  <c r="L64" i="73"/>
  <c r="M64" i="73" s="1"/>
  <c r="L63" i="73"/>
  <c r="M63" i="73" s="1"/>
  <c r="L62" i="73"/>
  <c r="M62" i="73" s="1"/>
  <c r="L61" i="73"/>
  <c r="M61" i="73" s="1"/>
  <c r="L60" i="73"/>
  <c r="M60" i="73" s="1"/>
  <c r="L59" i="73"/>
  <c r="M59" i="73" s="1"/>
  <c r="L58" i="73"/>
  <c r="M58" i="73" s="1"/>
  <c r="L57" i="73"/>
  <c r="M57" i="73" s="1"/>
  <c r="L56" i="73"/>
  <c r="M56" i="73" s="1"/>
  <c r="L55" i="73"/>
  <c r="M55" i="73" s="1"/>
  <c r="L54" i="73"/>
  <c r="M54" i="73" s="1"/>
  <c r="L53" i="73"/>
  <c r="M53" i="73" s="1"/>
  <c r="L52" i="73"/>
  <c r="M52" i="73" s="1"/>
  <c r="L51" i="73"/>
  <c r="M51" i="73" s="1"/>
  <c r="L50" i="73"/>
  <c r="M50" i="73" s="1"/>
  <c r="L49" i="73"/>
  <c r="M49" i="73" s="1"/>
  <c r="L48" i="73"/>
  <c r="M48" i="73" s="1"/>
  <c r="L47" i="73"/>
  <c r="M47" i="73" s="1"/>
  <c r="L46" i="73"/>
  <c r="M46" i="73" s="1"/>
  <c r="L45" i="73"/>
  <c r="M45" i="73" s="1"/>
  <c r="L44" i="73"/>
  <c r="M44" i="73" s="1"/>
  <c r="L43" i="73"/>
  <c r="M43" i="73" s="1"/>
  <c r="L42" i="73"/>
  <c r="M42" i="73" s="1"/>
  <c r="L41" i="73"/>
  <c r="M41" i="73" s="1"/>
  <c r="L40" i="73"/>
  <c r="M40" i="73" s="1"/>
  <c r="L39" i="73"/>
  <c r="M39" i="73" s="1"/>
  <c r="L38" i="73"/>
  <c r="M38" i="73" s="1"/>
  <c r="L37" i="73"/>
  <c r="M37" i="73" s="1"/>
  <c r="L36" i="73"/>
  <c r="M36" i="73" s="1"/>
  <c r="L35" i="73"/>
  <c r="M35" i="73" s="1"/>
  <c r="L34" i="73"/>
  <c r="M34" i="73" s="1"/>
  <c r="L33" i="73"/>
  <c r="M33" i="73" s="1"/>
  <c r="L32" i="73"/>
  <c r="M32" i="73" s="1"/>
  <c r="L31" i="73"/>
  <c r="M31" i="73" s="1"/>
  <c r="L30" i="73"/>
  <c r="M30" i="73" s="1"/>
  <c r="L29" i="73"/>
  <c r="M29" i="73" s="1"/>
  <c r="L28" i="73"/>
  <c r="M28" i="73" s="1"/>
  <c r="L27" i="73"/>
  <c r="M27" i="73" s="1"/>
  <c r="L26" i="73"/>
  <c r="M26" i="73" s="1"/>
  <c r="L25" i="73"/>
  <c r="M25" i="73" s="1"/>
  <c r="L24" i="73"/>
  <c r="M24" i="73" s="1"/>
  <c r="L23" i="73"/>
  <c r="M23" i="73" s="1"/>
  <c r="L22" i="73"/>
  <c r="L56" i="72"/>
  <c r="M56" i="72" s="1"/>
  <c r="L55" i="72"/>
  <c r="M55" i="72" s="1"/>
  <c r="L54" i="72"/>
  <c r="M54" i="72" s="1"/>
  <c r="L53" i="72"/>
  <c r="M53" i="72" s="1"/>
  <c r="L52" i="72"/>
  <c r="M52" i="72" s="1"/>
  <c r="L51" i="72"/>
  <c r="M51" i="72" s="1"/>
  <c r="L50" i="72"/>
  <c r="M50" i="72" s="1"/>
  <c r="L49" i="72"/>
  <c r="M49" i="72" s="1"/>
  <c r="L48" i="72"/>
  <c r="M48" i="72" s="1"/>
  <c r="L47" i="72"/>
  <c r="M47" i="72" s="1"/>
  <c r="L46" i="72"/>
  <c r="M46" i="72" s="1"/>
  <c r="L45" i="72"/>
  <c r="M45" i="72" s="1"/>
  <c r="L44" i="72"/>
  <c r="M44" i="72" s="1"/>
  <c r="L43" i="72"/>
  <c r="M43" i="72" s="1"/>
  <c r="L42" i="72"/>
  <c r="M42" i="72" s="1"/>
  <c r="L41" i="72"/>
  <c r="M41" i="72" s="1"/>
  <c r="L40" i="72"/>
  <c r="M40" i="72" s="1"/>
  <c r="L39" i="72"/>
  <c r="M39" i="72" s="1"/>
  <c r="L38" i="72"/>
  <c r="M38" i="72" s="1"/>
  <c r="L37" i="72"/>
  <c r="M37" i="72" s="1"/>
  <c r="L36" i="72"/>
  <c r="M36" i="72" s="1"/>
  <c r="L35" i="72"/>
  <c r="M35" i="72" s="1"/>
  <c r="L34" i="72"/>
  <c r="M34" i="72" s="1"/>
  <c r="L33" i="72"/>
  <c r="M33" i="72" s="1"/>
  <c r="L32" i="72"/>
  <c r="M32" i="72" s="1"/>
  <c r="L31" i="72"/>
  <c r="M31" i="72" s="1"/>
  <c r="L30" i="72"/>
  <c r="M30" i="72" s="1"/>
  <c r="L29" i="72"/>
  <c r="M29" i="72" s="1"/>
  <c r="L28" i="72"/>
  <c r="M28" i="72" s="1"/>
  <c r="L27" i="72"/>
  <c r="M27" i="72" s="1"/>
  <c r="L26" i="72"/>
  <c r="M26" i="72" s="1"/>
  <c r="L25" i="72"/>
  <c r="M25" i="72" s="1"/>
  <c r="L24" i="72"/>
  <c r="M24" i="72" s="1"/>
  <c r="L23" i="72"/>
  <c r="M23" i="72" s="1"/>
  <c r="L22" i="72"/>
  <c r="L55" i="71"/>
  <c r="M55" i="71" s="1"/>
  <c r="T55" i="71" s="1"/>
  <c r="L53" i="71"/>
  <c r="M53" i="71" s="1"/>
  <c r="T53" i="71" s="1"/>
  <c r="L52" i="71"/>
  <c r="M52" i="71" s="1"/>
  <c r="T52" i="71" s="1"/>
  <c r="L51" i="71"/>
  <c r="M51" i="71" s="1"/>
  <c r="T51" i="71" s="1"/>
  <c r="L50" i="71"/>
  <c r="M50" i="71" s="1"/>
  <c r="T50" i="71" s="1"/>
  <c r="L48" i="71"/>
  <c r="M48" i="71" s="1"/>
  <c r="T48" i="71" s="1"/>
  <c r="L45" i="71"/>
  <c r="M45" i="71" s="1"/>
  <c r="T45" i="71" s="1"/>
  <c r="L44" i="71"/>
  <c r="M44" i="71" s="1"/>
  <c r="L43" i="71"/>
  <c r="M43" i="71" s="1"/>
  <c r="L42" i="71"/>
  <c r="M42" i="71" s="1"/>
  <c r="T42" i="71" s="1"/>
  <c r="L41" i="71"/>
  <c r="M41" i="71" s="1"/>
  <c r="T41" i="71" s="1"/>
  <c r="L37" i="71"/>
  <c r="M37" i="71" s="1"/>
  <c r="T37" i="71" s="1"/>
  <c r="L36" i="71"/>
  <c r="M36" i="71" s="1"/>
  <c r="L35" i="71"/>
  <c r="M35" i="71" s="1"/>
  <c r="T35" i="71" s="1"/>
  <c r="L34" i="71"/>
  <c r="M34" i="71" s="1"/>
  <c r="T34" i="71" s="1"/>
  <c r="L32" i="71"/>
  <c r="M32" i="71" s="1"/>
  <c r="T32" i="71" s="1"/>
  <c r="L27" i="71"/>
  <c r="M27" i="71" s="1"/>
  <c r="L26" i="71"/>
  <c r="M26" i="71" s="1"/>
  <c r="T26" i="71" s="1"/>
  <c r="L24" i="71"/>
  <c r="M24" i="71" s="1"/>
  <c r="T24" i="71" s="1"/>
  <c r="L22" i="71"/>
  <c r="L46" i="70"/>
  <c r="M46" i="70" s="1"/>
  <c r="L45" i="70"/>
  <c r="M45" i="70" s="1"/>
  <c r="T45" i="70" s="1"/>
  <c r="L44" i="70"/>
  <c r="M44" i="70" s="1"/>
  <c r="T44" i="70" s="1"/>
  <c r="L43" i="70"/>
  <c r="M43" i="70" s="1"/>
  <c r="T43" i="70" s="1"/>
  <c r="L42" i="70"/>
  <c r="M42" i="70" s="1"/>
  <c r="T42" i="70" s="1"/>
  <c r="L38" i="70"/>
  <c r="M38" i="70" s="1"/>
  <c r="T38" i="70" s="1"/>
  <c r="L37" i="70"/>
  <c r="M37" i="70" s="1"/>
  <c r="T37" i="70" s="1"/>
  <c r="L36" i="70"/>
  <c r="M36" i="70" s="1"/>
  <c r="L31" i="70"/>
  <c r="M31" i="70" s="1"/>
  <c r="T31" i="70" s="1"/>
  <c r="L30" i="70"/>
  <c r="M30" i="70" s="1"/>
  <c r="L29" i="70"/>
  <c r="M29" i="70" s="1"/>
  <c r="T29" i="70" s="1"/>
  <c r="L28" i="70"/>
  <c r="M28" i="70" s="1"/>
  <c r="T28" i="70" s="1"/>
  <c r="L26" i="70"/>
  <c r="M26" i="70" s="1"/>
  <c r="T26" i="70" s="1"/>
  <c r="L23" i="70"/>
  <c r="M23" i="70" s="1"/>
  <c r="T23" i="70" s="1"/>
  <c r="L22" i="70"/>
  <c r="L24" i="69"/>
  <c r="M24" i="69" s="1"/>
  <c r="L22" i="69"/>
  <c r="L38" i="68"/>
  <c r="M38" i="68" s="1"/>
  <c r="T38" i="68" s="1"/>
  <c r="L37" i="68"/>
  <c r="M37" i="68" s="1"/>
  <c r="T37" i="68" s="1"/>
  <c r="L35" i="68"/>
  <c r="M35" i="68" s="1"/>
  <c r="T35" i="68" s="1"/>
  <c r="L33" i="68"/>
  <c r="M33" i="68" s="1"/>
  <c r="T33" i="68" s="1"/>
  <c r="L22" i="68"/>
  <c r="L48" i="66"/>
  <c r="M48" i="66" s="1"/>
  <c r="L47" i="66"/>
  <c r="M47" i="66" s="1"/>
  <c r="L46" i="66"/>
  <c r="M46" i="66" s="1"/>
  <c r="T46" i="66" s="1"/>
  <c r="L45" i="66"/>
  <c r="M45" i="66" s="1"/>
  <c r="T45" i="66" s="1"/>
  <c r="L44" i="66"/>
  <c r="M44" i="66" s="1"/>
  <c r="T44" i="66" s="1"/>
  <c r="L42" i="66"/>
  <c r="M42" i="66" s="1"/>
  <c r="L33" i="66"/>
  <c r="M33" i="66" s="1"/>
  <c r="T33" i="66" s="1"/>
  <c r="L32" i="66"/>
  <c r="M32" i="66" s="1"/>
  <c r="L31" i="66"/>
  <c r="M31" i="66" s="1"/>
  <c r="T31" i="66" s="1"/>
  <c r="L30" i="66"/>
  <c r="M30" i="66" s="1"/>
  <c r="T30" i="66" s="1"/>
  <c r="L29" i="66"/>
  <c r="M29" i="66" s="1"/>
  <c r="T29" i="66" s="1"/>
  <c r="L66" i="65"/>
  <c r="M66" i="65" s="1"/>
  <c r="T66" i="65" s="1"/>
  <c r="L65" i="65"/>
  <c r="M65" i="65" s="1"/>
  <c r="T65" i="65" s="1"/>
  <c r="L64" i="65"/>
  <c r="M64" i="65" s="1"/>
  <c r="T64" i="65" s="1"/>
  <c r="L63" i="65"/>
  <c r="M63" i="65" s="1"/>
  <c r="T63" i="65" s="1"/>
  <c r="L62" i="65"/>
  <c r="M62" i="65" s="1"/>
  <c r="T62" i="65" s="1"/>
  <c r="L60" i="65"/>
  <c r="M60" i="65" s="1"/>
  <c r="T60" i="65" s="1"/>
  <c r="L59" i="65"/>
  <c r="M59" i="65" s="1"/>
  <c r="T59" i="65" s="1"/>
  <c r="L56" i="65"/>
  <c r="M56" i="65" s="1"/>
  <c r="T56" i="65" s="1"/>
  <c r="L55" i="65"/>
  <c r="M55" i="65" s="1"/>
  <c r="T55" i="65" s="1"/>
  <c r="L54" i="65"/>
  <c r="M54" i="65" s="1"/>
  <c r="L49" i="65"/>
  <c r="M49" i="65" s="1"/>
  <c r="T49" i="65" s="1"/>
  <c r="L48" i="65"/>
  <c r="M48" i="65" s="1"/>
  <c r="T48" i="65" s="1"/>
  <c r="L45" i="65"/>
  <c r="M45" i="65" s="1"/>
  <c r="T45" i="65" s="1"/>
  <c r="L44" i="65"/>
  <c r="M44" i="65" s="1"/>
  <c r="T44" i="65" s="1"/>
  <c r="L38" i="65"/>
  <c r="M38" i="65" s="1"/>
  <c r="L37" i="65"/>
  <c r="M37" i="65" s="1"/>
  <c r="L36" i="65"/>
  <c r="M36" i="65" s="1"/>
  <c r="T36" i="65" s="1"/>
  <c r="L31" i="65"/>
  <c r="M31" i="65" s="1"/>
  <c r="T31" i="65" s="1"/>
  <c r="L30" i="65"/>
  <c r="M30" i="65" s="1"/>
  <c r="T30" i="65" s="1"/>
  <c r="L28" i="65"/>
  <c r="M28" i="65" s="1"/>
  <c r="T28" i="65" s="1"/>
  <c r="L27" i="65"/>
  <c r="M27" i="65" s="1"/>
  <c r="T27" i="65" s="1"/>
  <c r="L26" i="65"/>
  <c r="M26" i="65" s="1"/>
  <c r="T26" i="65" s="1"/>
  <c r="L24" i="65"/>
  <c r="M24" i="65" s="1"/>
  <c r="T24" i="65" s="1"/>
  <c r="L23" i="65"/>
  <c r="M23" i="65" s="1"/>
  <c r="T23" i="65" s="1"/>
  <c r="L24" i="64"/>
  <c r="M24" i="64" s="1"/>
  <c r="L22" i="64"/>
  <c r="L61" i="63"/>
  <c r="M61" i="63" s="1"/>
  <c r="L60" i="63"/>
  <c r="M60" i="63" s="1"/>
  <c r="L59" i="63"/>
  <c r="M59" i="63" s="1"/>
  <c r="T59" i="63" s="1"/>
  <c r="L58" i="63"/>
  <c r="M58" i="63" s="1"/>
  <c r="T58" i="63" s="1"/>
  <c r="L57" i="63"/>
  <c r="M57" i="63" s="1"/>
  <c r="L56" i="63"/>
  <c r="M56" i="63" s="1"/>
  <c r="L55" i="63"/>
  <c r="M55" i="63" s="1"/>
  <c r="L53" i="63"/>
  <c r="M53" i="63" s="1"/>
  <c r="L52" i="63"/>
  <c r="M52" i="63" s="1"/>
  <c r="L50" i="63"/>
  <c r="M50" i="63" s="1"/>
  <c r="T50" i="63" s="1"/>
  <c r="L49" i="63"/>
  <c r="M49" i="63" s="1"/>
  <c r="T49" i="63" s="1"/>
  <c r="L47" i="63"/>
  <c r="M47" i="63" s="1"/>
  <c r="T47" i="63" s="1"/>
  <c r="L46" i="63"/>
  <c r="M46" i="63" s="1"/>
  <c r="L45" i="63"/>
  <c r="M45" i="63" s="1"/>
  <c r="T45" i="63" s="1"/>
  <c r="L44" i="63"/>
  <c r="M44" i="63" s="1"/>
  <c r="L43" i="63"/>
  <c r="M43" i="63" s="1"/>
  <c r="T43" i="63" s="1"/>
  <c r="L42" i="63"/>
  <c r="M42" i="63" s="1"/>
  <c r="T42" i="63" s="1"/>
  <c r="L41" i="63"/>
  <c r="M41" i="63" s="1"/>
  <c r="L40" i="63"/>
  <c r="M40" i="63" s="1"/>
  <c r="T40" i="63" s="1"/>
  <c r="L39" i="63"/>
  <c r="M39" i="63" s="1"/>
  <c r="L38" i="63"/>
  <c r="M38" i="63" s="1"/>
  <c r="T38" i="63" s="1"/>
  <c r="L37" i="63"/>
  <c r="M37" i="63" s="1"/>
  <c r="L36" i="63"/>
  <c r="M36" i="63" s="1"/>
  <c r="T36" i="63" s="1"/>
  <c r="L35" i="63"/>
  <c r="M35" i="63" s="1"/>
  <c r="L34" i="63"/>
  <c r="M34" i="63" s="1"/>
  <c r="T34" i="63" s="1"/>
  <c r="L33" i="63"/>
  <c r="M33" i="63" s="1"/>
  <c r="T33" i="63" s="1"/>
  <c r="L32" i="63"/>
  <c r="M32" i="63" s="1"/>
  <c r="L31" i="63"/>
  <c r="M31" i="63" s="1"/>
  <c r="T31" i="63" s="1"/>
  <c r="L30" i="63"/>
  <c r="M30" i="63" s="1"/>
  <c r="L29" i="63"/>
  <c r="M29" i="63" s="1"/>
  <c r="T29" i="63" s="1"/>
  <c r="L28" i="63"/>
  <c r="M28" i="63" s="1"/>
  <c r="L27" i="63"/>
  <c r="M27" i="63" s="1"/>
  <c r="T27" i="63" s="1"/>
  <c r="L26" i="63"/>
  <c r="M26" i="63" s="1"/>
  <c r="T26" i="63" s="1"/>
  <c r="L23" i="63"/>
  <c r="M23" i="63" s="1"/>
  <c r="T23" i="63" s="1"/>
  <c r="L32" i="62"/>
  <c r="M32" i="62" s="1"/>
  <c r="T32" i="62" s="1"/>
  <c r="L23" i="62"/>
  <c r="M23" i="62" s="1"/>
  <c r="T23" i="62" s="1"/>
  <c r="L106" i="61"/>
  <c r="M106" i="61" s="1"/>
  <c r="T106" i="61" s="1"/>
  <c r="L103" i="61"/>
  <c r="M103" i="61" s="1"/>
  <c r="T103" i="61" s="1"/>
  <c r="L102" i="61"/>
  <c r="M102" i="61" s="1"/>
  <c r="T102" i="61" s="1"/>
  <c r="L100" i="61"/>
  <c r="M100" i="61" s="1"/>
  <c r="L97" i="61"/>
  <c r="M97" i="61" s="1"/>
  <c r="T97" i="61" s="1"/>
  <c r="L95" i="61"/>
  <c r="M95" i="61" s="1"/>
  <c r="L90" i="61"/>
  <c r="M90" i="61" s="1"/>
  <c r="L81" i="61"/>
  <c r="M81" i="61" s="1"/>
  <c r="T81" i="61" s="1"/>
  <c r="L74" i="61"/>
  <c r="M74" i="61" s="1"/>
  <c r="L67" i="61"/>
  <c r="M67" i="61" s="1"/>
  <c r="T67" i="61" s="1"/>
  <c r="L58" i="61"/>
  <c r="M58" i="61" s="1"/>
  <c r="T58" i="61" s="1"/>
  <c r="L49" i="61"/>
  <c r="M49" i="61" s="1"/>
  <c r="T49" i="61" s="1"/>
  <c r="L46" i="61"/>
  <c r="M46" i="61" s="1"/>
  <c r="T46" i="61" s="1"/>
  <c r="L45" i="61"/>
  <c r="M45" i="61" s="1"/>
  <c r="T45" i="61" s="1"/>
  <c r="L42" i="61"/>
  <c r="M42" i="61" s="1"/>
  <c r="L33" i="61"/>
  <c r="M33" i="61" s="1"/>
  <c r="L29" i="61"/>
  <c r="M29" i="61" s="1"/>
  <c r="T29" i="61" s="1"/>
  <c r="L26" i="61"/>
  <c r="M26" i="61" s="1"/>
  <c r="L23" i="61"/>
  <c r="M23" i="61" s="1"/>
  <c r="L22" i="61"/>
  <c r="L55" i="60"/>
  <c r="M55" i="60" s="1"/>
  <c r="L54" i="60"/>
  <c r="M54" i="60" s="1"/>
  <c r="T54" i="60" s="1"/>
  <c r="L53" i="60"/>
  <c r="M53" i="60" s="1"/>
  <c r="L51" i="60"/>
  <c r="M51" i="60" s="1"/>
  <c r="T51" i="60" s="1"/>
  <c r="L30" i="60"/>
  <c r="M30" i="60" s="1"/>
  <c r="T30" i="60" s="1"/>
  <c r="L28" i="60"/>
  <c r="M28" i="60" s="1"/>
  <c r="L26" i="60"/>
  <c r="M26" i="60" s="1"/>
  <c r="T26" i="60" s="1"/>
  <c r="L25" i="60"/>
  <c r="M25" i="60" s="1"/>
  <c r="T25" i="60" s="1"/>
  <c r="L24" i="60"/>
  <c r="M24" i="60" s="1"/>
  <c r="L23" i="60"/>
  <c r="M23" i="60" s="1"/>
  <c r="T23" i="60" s="1"/>
  <c r="AK22" i="46"/>
  <c r="AK21" i="46"/>
  <c r="AK20" i="46"/>
  <c r="AK19" i="46"/>
  <c r="AK18" i="46"/>
  <c r="AK17" i="46"/>
  <c r="AK16" i="46"/>
  <c r="AK15" i="46"/>
  <c r="AK14" i="46"/>
  <c r="AK13" i="46"/>
  <c r="AK12" i="46"/>
  <c r="AK11" i="46"/>
  <c r="AK10" i="46"/>
  <c r="AJ22" i="46"/>
  <c r="AJ21" i="46"/>
  <c r="AJ20" i="46"/>
  <c r="AJ19" i="46"/>
  <c r="AJ18" i="46"/>
  <c r="AJ17" i="46"/>
  <c r="AJ16" i="46"/>
  <c r="AJ15" i="46"/>
  <c r="AJ14" i="46"/>
  <c r="AJ13" i="46"/>
  <c r="AJ12" i="46"/>
  <c r="AJ11" i="46"/>
  <c r="AJ10" i="46"/>
  <c r="AI22" i="46"/>
  <c r="AI21" i="46"/>
  <c r="AI20" i="46"/>
  <c r="AI19" i="46"/>
  <c r="AI18" i="46"/>
  <c r="AI17" i="46"/>
  <c r="AI16" i="46"/>
  <c r="AI15" i="46"/>
  <c r="AI14" i="46"/>
  <c r="AI13" i="46"/>
  <c r="AI12" i="46"/>
  <c r="AI11" i="46"/>
  <c r="AI10" i="46"/>
  <c r="AH22" i="46"/>
  <c r="AH21" i="46"/>
  <c r="AH20" i="46"/>
  <c r="AH19" i="46"/>
  <c r="AH18" i="46"/>
  <c r="AH17" i="46"/>
  <c r="AH16" i="46"/>
  <c r="AH15" i="46"/>
  <c r="AH14" i="46"/>
  <c r="AH13" i="46"/>
  <c r="AH12" i="46"/>
  <c r="AH11" i="46"/>
  <c r="AH10" i="46"/>
  <c r="AG22" i="46"/>
  <c r="AG21" i="46"/>
  <c r="AG20" i="46"/>
  <c r="AG19" i="46"/>
  <c r="AG18" i="46"/>
  <c r="AG17" i="46"/>
  <c r="AG16" i="46"/>
  <c r="AG15" i="46"/>
  <c r="AG14" i="46"/>
  <c r="AG13" i="46"/>
  <c r="AG12" i="46"/>
  <c r="AG11" i="46"/>
  <c r="AG10" i="46"/>
  <c r="AF22" i="46"/>
  <c r="AF21" i="46"/>
  <c r="AF20" i="46"/>
  <c r="AF19" i="46"/>
  <c r="AF18" i="46"/>
  <c r="AF17" i="46"/>
  <c r="AF16" i="46"/>
  <c r="AF15" i="46"/>
  <c r="AF14" i="46"/>
  <c r="AF13" i="46"/>
  <c r="AF12" i="46"/>
  <c r="AF11" i="46"/>
  <c r="AF10" i="46"/>
  <c r="AE22" i="46"/>
  <c r="AE21" i="46"/>
  <c r="AE20" i="46"/>
  <c r="AE19" i="46"/>
  <c r="AE18" i="46"/>
  <c r="AE17" i="46"/>
  <c r="AE16" i="46"/>
  <c r="AE15" i="46"/>
  <c r="AE14" i="46"/>
  <c r="AE13" i="46"/>
  <c r="AE12" i="46"/>
  <c r="AE11" i="46"/>
  <c r="AE10" i="46"/>
  <c r="AD22" i="46"/>
  <c r="AD21" i="46"/>
  <c r="AD20" i="46"/>
  <c r="AD19" i="46"/>
  <c r="AD18" i="46"/>
  <c r="AD17" i="46"/>
  <c r="AD16" i="46"/>
  <c r="AD15" i="46"/>
  <c r="AD14" i="46"/>
  <c r="AD13" i="46"/>
  <c r="AD12" i="46"/>
  <c r="AD11" i="46"/>
  <c r="AD10" i="46"/>
  <c r="AC22" i="46"/>
  <c r="AC21" i="46"/>
  <c r="AC20" i="46"/>
  <c r="AC19" i="46"/>
  <c r="AC18" i="46"/>
  <c r="AC17" i="46"/>
  <c r="AC16" i="46"/>
  <c r="AC15" i="46"/>
  <c r="AC14" i="46"/>
  <c r="AC13" i="46"/>
  <c r="AC12" i="46"/>
  <c r="AC11" i="46"/>
  <c r="AC10" i="46"/>
  <c r="AB31" i="46"/>
  <c r="AB22" i="46"/>
  <c r="AB21" i="46"/>
  <c r="AB20" i="46"/>
  <c r="AB19" i="46"/>
  <c r="AB18" i="46"/>
  <c r="AB17" i="46"/>
  <c r="AB16" i="46"/>
  <c r="AB15" i="46"/>
  <c r="AB14" i="46"/>
  <c r="AB13" i="46"/>
  <c r="AB12" i="46"/>
  <c r="AB11" i="46"/>
  <c r="AB10" i="46"/>
  <c r="AA31" i="46"/>
  <c r="AA22" i="46"/>
  <c r="AA21" i="46"/>
  <c r="AA20" i="46"/>
  <c r="AA19" i="46"/>
  <c r="AA18" i="46"/>
  <c r="AA17" i="46"/>
  <c r="AA16" i="46"/>
  <c r="AA15" i="46"/>
  <c r="AA14" i="46"/>
  <c r="AA13" i="46"/>
  <c r="AA12" i="46"/>
  <c r="AA11" i="46"/>
  <c r="AA10" i="46"/>
  <c r="Z20" i="46"/>
  <c r="Z19" i="46"/>
  <c r="Z18" i="46"/>
  <c r="Z17" i="46"/>
  <c r="Z16" i="46"/>
  <c r="Z15" i="46"/>
  <c r="Z14" i="46"/>
  <c r="Z13" i="46"/>
  <c r="Z12" i="46"/>
  <c r="Z11" i="46"/>
  <c r="Z10" i="46"/>
  <c r="Y22" i="46"/>
  <c r="Y21" i="46"/>
  <c r="Y20" i="46"/>
  <c r="Y19" i="46"/>
  <c r="Y18" i="46"/>
  <c r="Y17" i="46"/>
  <c r="Y16" i="46"/>
  <c r="Y15" i="46"/>
  <c r="Y14" i="46"/>
  <c r="Y13" i="46"/>
  <c r="Y12" i="46"/>
  <c r="Y11" i="46"/>
  <c r="Y10" i="46"/>
  <c r="X22" i="46"/>
  <c r="X21" i="46"/>
  <c r="X20" i="46"/>
  <c r="X19" i="46"/>
  <c r="X18" i="46"/>
  <c r="X17" i="46"/>
  <c r="X16" i="46"/>
  <c r="X15" i="46"/>
  <c r="X14" i="46"/>
  <c r="X13" i="46"/>
  <c r="X12" i="46"/>
  <c r="X11" i="46"/>
  <c r="X10" i="46"/>
  <c r="W22" i="46"/>
  <c r="W21" i="46"/>
  <c r="W20" i="46"/>
  <c r="W19" i="46"/>
  <c r="W18" i="46"/>
  <c r="W17" i="46"/>
  <c r="W16" i="46"/>
  <c r="W15" i="46"/>
  <c r="W14" i="46"/>
  <c r="W13" i="46"/>
  <c r="W12" i="46"/>
  <c r="W11" i="46"/>
  <c r="W10" i="46"/>
  <c r="V22" i="46"/>
  <c r="V21" i="46"/>
  <c r="V20" i="46"/>
  <c r="V19" i="46"/>
  <c r="V18" i="46"/>
  <c r="V17" i="46"/>
  <c r="V16" i="46"/>
  <c r="V15" i="46"/>
  <c r="V14" i="46"/>
  <c r="V13" i="46"/>
  <c r="V12" i="46"/>
  <c r="V11" i="46"/>
  <c r="V10" i="46"/>
  <c r="U31" i="46"/>
  <c r="L24" i="79" s="1"/>
  <c r="M24" i="79" s="1"/>
  <c r="U22" i="46"/>
  <c r="U21" i="46"/>
  <c r="U20" i="46"/>
  <c r="U19" i="46"/>
  <c r="U18" i="46"/>
  <c r="U17" i="46"/>
  <c r="U16" i="46"/>
  <c r="U15" i="46"/>
  <c r="U14" i="46"/>
  <c r="U13" i="46"/>
  <c r="U12" i="46"/>
  <c r="U11" i="46"/>
  <c r="U10" i="46"/>
  <c r="T31" i="46"/>
  <c r="L22" i="78" s="1"/>
  <c r="T22" i="46"/>
  <c r="T21" i="46"/>
  <c r="T20" i="46"/>
  <c r="T19" i="46"/>
  <c r="T18" i="46"/>
  <c r="T17" i="46"/>
  <c r="T16" i="46"/>
  <c r="T15" i="46"/>
  <c r="T14" i="46"/>
  <c r="T13" i="46"/>
  <c r="T12" i="46"/>
  <c r="T11" i="46"/>
  <c r="T10" i="46"/>
  <c r="S31" i="46"/>
  <c r="L46" i="77" s="1"/>
  <c r="M46" i="77" s="1"/>
  <c r="T46" i="77" s="1"/>
  <c r="S22" i="46"/>
  <c r="S21" i="46"/>
  <c r="S20" i="46"/>
  <c r="S19" i="46"/>
  <c r="S18" i="46"/>
  <c r="S17" i="46"/>
  <c r="S16" i="46"/>
  <c r="S15" i="46"/>
  <c r="S14" i="46"/>
  <c r="S13" i="46"/>
  <c r="S12" i="46"/>
  <c r="S11" i="46"/>
  <c r="S10" i="46"/>
  <c r="R20" i="46"/>
  <c r="R19" i="46"/>
  <c r="L47" i="76" s="1"/>
  <c r="M47" i="76" s="1"/>
  <c r="R18" i="46"/>
  <c r="R17" i="46"/>
  <c r="R16" i="46"/>
  <c r="R15" i="46"/>
  <c r="R14" i="46"/>
  <c r="L55" i="76" s="1"/>
  <c r="M55" i="76" s="1"/>
  <c r="T55" i="76" s="1"/>
  <c r="R13" i="46"/>
  <c r="R12" i="46"/>
  <c r="R11" i="46"/>
  <c r="R10" i="46"/>
  <c r="Q22" i="46"/>
  <c r="Q21" i="46"/>
  <c r="P22" i="46"/>
  <c r="P21" i="46"/>
  <c r="O22" i="46"/>
  <c r="O21" i="46"/>
  <c r="N22" i="46"/>
  <c r="N21" i="46"/>
  <c r="M22" i="46"/>
  <c r="M21" i="46"/>
  <c r="M20" i="46"/>
  <c r="M19" i="46"/>
  <c r="L28" i="71" s="1"/>
  <c r="M28" i="71" s="1"/>
  <c r="T28" i="71" s="1"/>
  <c r="M18" i="46"/>
  <c r="L30" i="71" s="1"/>
  <c r="M30" i="71" s="1"/>
  <c r="T30" i="71" s="1"/>
  <c r="M17" i="46"/>
  <c r="M16" i="46"/>
  <c r="M15" i="46"/>
  <c r="M14" i="46"/>
  <c r="L47" i="71" s="1"/>
  <c r="M47" i="71" s="1"/>
  <c r="T47" i="71" s="1"/>
  <c r="M13" i="46"/>
  <c r="M12" i="46"/>
  <c r="M11" i="46"/>
  <c r="M10" i="46"/>
  <c r="L22" i="46"/>
  <c r="L21" i="46"/>
  <c r="L20" i="46"/>
  <c r="L19" i="46"/>
  <c r="L18" i="46"/>
  <c r="L41" i="70" s="1"/>
  <c r="M41" i="70" s="1"/>
  <c r="T41" i="70" s="1"/>
  <c r="L17" i="46"/>
  <c r="L16" i="46"/>
  <c r="L15" i="46"/>
  <c r="L14" i="46"/>
  <c r="L39" i="70" s="1"/>
  <c r="M39" i="70" s="1"/>
  <c r="T39" i="70" s="1"/>
  <c r="L13" i="46"/>
  <c r="L12" i="46"/>
  <c r="L11" i="46"/>
  <c r="L10" i="46"/>
  <c r="K22" i="46"/>
  <c r="K21" i="46"/>
  <c r="K20" i="46"/>
  <c r="K19" i="46"/>
  <c r="L25" i="69" s="1"/>
  <c r="M25" i="69" s="1"/>
  <c r="T25" i="69" s="1"/>
  <c r="K18" i="46"/>
  <c r="K17" i="46"/>
  <c r="K16" i="46"/>
  <c r="K15" i="46"/>
  <c r="K14" i="46"/>
  <c r="L27" i="69"/>
  <c r="M27" i="69" s="1"/>
  <c r="T27" i="69" s="1"/>
  <c r="K12" i="46"/>
  <c r="K11" i="46"/>
  <c r="K10" i="46"/>
  <c r="J22" i="46"/>
  <c r="J21" i="46"/>
  <c r="J20" i="46"/>
  <c r="J19" i="46"/>
  <c r="L32" i="68" s="1"/>
  <c r="M32" i="68" s="1"/>
  <c r="T32" i="68" s="1"/>
  <c r="J18" i="46"/>
  <c r="J17" i="46"/>
  <c r="J16" i="46"/>
  <c r="J15" i="46"/>
  <c r="J14" i="46"/>
  <c r="L30" i="68" s="1"/>
  <c r="M30" i="68" s="1"/>
  <c r="T30" i="68" s="1"/>
  <c r="J13" i="46"/>
  <c r="J12" i="46"/>
  <c r="J11" i="46"/>
  <c r="J10" i="46"/>
  <c r="I22" i="46"/>
  <c r="I21" i="46"/>
  <c r="I20" i="46"/>
  <c r="I19" i="46"/>
  <c r="L22" i="67" s="1"/>
  <c r="L21" i="67" s="1"/>
  <c r="E33" i="1" s="1"/>
  <c r="I18" i="46"/>
  <c r="I17" i="46"/>
  <c r="I16" i="46"/>
  <c r="I15" i="46"/>
  <c r="I14" i="46"/>
  <c r="I13" i="46"/>
  <c r="I12" i="46"/>
  <c r="I11" i="46"/>
  <c r="I10" i="46"/>
  <c r="H22" i="46"/>
  <c r="H21" i="46"/>
  <c r="H20" i="46"/>
  <c r="H19" i="46"/>
  <c r="L28" i="66" s="1"/>
  <c r="M28" i="66" s="1"/>
  <c r="T28" i="66" s="1"/>
  <c r="H18" i="46"/>
  <c r="H17" i="46"/>
  <c r="H16" i="46"/>
  <c r="H15" i="46"/>
  <c r="H14" i="46"/>
  <c r="L40" i="66" s="1"/>
  <c r="M40" i="66" s="1"/>
  <c r="T40" i="66" s="1"/>
  <c r="H13" i="46"/>
  <c r="H12" i="46"/>
  <c r="H11" i="46"/>
  <c r="H10" i="46"/>
  <c r="G22" i="46"/>
  <c r="G21" i="46"/>
  <c r="G20" i="46"/>
  <c r="G19" i="46"/>
  <c r="L58" i="65" s="1"/>
  <c r="M58" i="65" s="1"/>
  <c r="T58" i="65" s="1"/>
  <c r="G18" i="46"/>
  <c r="L43" i="65" s="1"/>
  <c r="M43" i="65" s="1"/>
  <c r="T43" i="65" s="1"/>
  <c r="G17" i="46"/>
  <c r="G16" i="46"/>
  <c r="G15" i="46"/>
  <c r="G14" i="46"/>
  <c r="L35" i="65" s="1"/>
  <c r="M35" i="65" s="1"/>
  <c r="G13" i="46"/>
  <c r="G12" i="46"/>
  <c r="G11" i="46"/>
  <c r="G10" i="46"/>
  <c r="F22" i="46"/>
  <c r="F21" i="46"/>
  <c r="F20" i="46"/>
  <c r="F19" i="46"/>
  <c r="F18" i="46"/>
  <c r="F17" i="46"/>
  <c r="F16" i="46"/>
  <c r="F15" i="46"/>
  <c r="F14" i="46"/>
  <c r="L23" i="64"/>
  <c r="M23" i="64" s="1"/>
  <c r="F12" i="46"/>
  <c r="F11" i="46"/>
  <c r="F10" i="46"/>
  <c r="E22" i="46"/>
  <c r="E21" i="46"/>
  <c r="E20" i="46"/>
  <c r="E19" i="46"/>
  <c r="E18" i="46"/>
  <c r="L25" i="63" s="1"/>
  <c r="M25" i="63" s="1"/>
  <c r="T25" i="63" s="1"/>
  <c r="E17" i="46"/>
  <c r="E16" i="46"/>
  <c r="E15" i="46"/>
  <c r="E14" i="46"/>
  <c r="L54" i="63" s="1"/>
  <c r="M54" i="63" s="1"/>
  <c r="T54" i="63" s="1"/>
  <c r="E13" i="46"/>
  <c r="E12" i="46"/>
  <c r="E11" i="46"/>
  <c r="E10" i="46"/>
  <c r="D20" i="46"/>
  <c r="D19" i="46"/>
  <c r="L34" i="62" s="1"/>
  <c r="M34" i="62" s="1"/>
  <c r="T34" i="62" s="1"/>
  <c r="D18" i="46"/>
  <c r="D17" i="46"/>
  <c r="D16" i="46"/>
  <c r="D15" i="46"/>
  <c r="D14" i="46"/>
  <c r="L24" i="62" s="1"/>
  <c r="M24" i="62" s="1"/>
  <c r="D13" i="46"/>
  <c r="D12" i="46"/>
  <c r="D11" i="46"/>
  <c r="D10" i="46"/>
  <c r="C22" i="46"/>
  <c r="C21" i="46"/>
  <c r="C20" i="46"/>
  <c r="C19" i="46"/>
  <c r="L105" i="61" s="1"/>
  <c r="M105" i="61" s="1"/>
  <c r="T105" i="61" s="1"/>
  <c r="C18" i="46"/>
  <c r="C17" i="46"/>
  <c r="C16" i="46"/>
  <c r="C15" i="46"/>
  <c r="C14" i="46"/>
  <c r="L89" i="61" s="1"/>
  <c r="M89" i="61" s="1"/>
  <c r="C13" i="46"/>
  <c r="C12" i="46"/>
  <c r="C11" i="46"/>
  <c r="C10" i="46"/>
  <c r="B20" i="46"/>
  <c r="B19" i="46"/>
  <c r="L40" i="60" s="1"/>
  <c r="M40" i="60" s="1"/>
  <c r="T40" i="60" s="1"/>
  <c r="B18" i="46"/>
  <c r="B17" i="46"/>
  <c r="B16" i="46"/>
  <c r="B15" i="46"/>
  <c r="B14" i="46"/>
  <c r="L45" i="60" s="1"/>
  <c r="M45" i="60" s="1"/>
  <c r="T45" i="60" s="1"/>
  <c r="B13" i="46"/>
  <c r="B12" i="46"/>
  <c r="B11" i="46"/>
  <c r="B10" i="46"/>
  <c r="Q57" i="63" l="1"/>
  <c r="S57" i="63" s="1"/>
  <c r="T57" i="63"/>
  <c r="Q37" i="63"/>
  <c r="S37" i="63" s="1"/>
  <c r="T37" i="63"/>
  <c r="T39" i="63"/>
  <c r="Q39" i="63"/>
  <c r="S39" i="63" s="1"/>
  <c r="Q53" i="63"/>
  <c r="S53" i="63" s="1"/>
  <c r="T53" i="63"/>
  <c r="T35" i="63"/>
  <c r="Q35" i="63"/>
  <c r="S35" i="63" s="1"/>
  <c r="T55" i="63"/>
  <c r="Q55" i="63"/>
  <c r="S55" i="63" s="1"/>
  <c r="T61" i="63"/>
  <c r="Q61" i="63"/>
  <c r="S61" i="63" s="1"/>
  <c r="T60" i="63"/>
  <c r="Q60" i="63"/>
  <c r="S60" i="63" s="1"/>
  <c r="T56" i="63"/>
  <c r="Q56" i="63"/>
  <c r="S56" i="63" s="1"/>
  <c r="Q32" i="63"/>
  <c r="S32" i="63" s="1"/>
  <c r="T32" i="63"/>
  <c r="T52" i="63"/>
  <c r="Q52" i="63"/>
  <c r="S52" i="63" s="1"/>
  <c r="M22" i="77"/>
  <c r="T22" i="77" s="1"/>
  <c r="L21" i="73"/>
  <c r="M22" i="75"/>
  <c r="S22" i="75" s="1"/>
  <c r="L21" i="75"/>
  <c r="Q38" i="63"/>
  <c r="S38" i="63" s="1"/>
  <c r="R21" i="67"/>
  <c r="M22" i="72"/>
  <c r="I9" i="72" s="1"/>
  <c r="L21" i="72"/>
  <c r="M22" i="68"/>
  <c r="T22" i="68" s="1"/>
  <c r="T24" i="62"/>
  <c r="T41" i="63"/>
  <c r="M22" i="78"/>
  <c r="M22" i="74"/>
  <c r="L21" i="74"/>
  <c r="R25" i="74"/>
  <c r="T28" i="63"/>
  <c r="T44" i="63"/>
  <c r="Q36" i="63"/>
  <c r="S36" i="63" s="1"/>
  <c r="M22" i="69"/>
  <c r="T22" i="69" s="1"/>
  <c r="T46" i="63"/>
  <c r="M22" i="71"/>
  <c r="T22" i="71" s="1"/>
  <c r="M22" i="64"/>
  <c r="M21" i="64" s="1"/>
  <c r="L21" i="64"/>
  <c r="M22" i="70"/>
  <c r="T22" i="70" s="1"/>
  <c r="T35" i="65"/>
  <c r="T37" i="65"/>
  <c r="S37" i="75"/>
  <c r="T95" i="61"/>
  <c r="Q95" i="61"/>
  <c r="S95" i="61" s="1"/>
  <c r="T33" i="61"/>
  <c r="Q33" i="61"/>
  <c r="S33" i="61" s="1"/>
  <c r="T23" i="61"/>
  <c r="Q23" i="61"/>
  <c r="S23" i="61" s="1"/>
  <c r="T100" i="61"/>
  <c r="T89" i="61"/>
  <c r="T26" i="61"/>
  <c r="T42" i="61"/>
  <c r="T74" i="61"/>
  <c r="T90" i="61"/>
  <c r="M22" i="61"/>
  <c r="T47" i="77"/>
  <c r="T53" i="60"/>
  <c r="Q53" i="60"/>
  <c r="S53" i="60" s="1"/>
  <c r="T55" i="60"/>
  <c r="T28" i="60"/>
  <c r="T24" i="60"/>
  <c r="T45" i="76"/>
  <c r="T23" i="76"/>
  <c r="T32" i="76"/>
  <c r="T56" i="76"/>
  <c r="T33" i="76"/>
  <c r="T47" i="76"/>
  <c r="S27" i="75"/>
  <c r="S41" i="75"/>
  <c r="S46" i="75"/>
  <c r="X46" i="75"/>
  <c r="P25" i="75"/>
  <c r="R25" i="75" s="1"/>
  <c r="P33" i="75"/>
  <c r="R33" i="75" s="1"/>
  <c r="P35" i="75"/>
  <c r="R35" i="75" s="1"/>
  <c r="S29" i="75"/>
  <c r="S36" i="75"/>
  <c r="X26" i="75"/>
  <c r="P36" i="75"/>
  <c r="R36" i="75" s="1"/>
  <c r="P28" i="75"/>
  <c r="R28" i="75" s="1"/>
  <c r="P29" i="75"/>
  <c r="R29" i="75" s="1"/>
  <c r="X30" i="75"/>
  <c r="X38" i="75"/>
  <c r="P32" i="75"/>
  <c r="R32" i="75" s="1"/>
  <c r="P37" i="75"/>
  <c r="R37" i="75" s="1"/>
  <c r="P31" i="75"/>
  <c r="Q31" i="75" s="1"/>
  <c r="P39" i="75"/>
  <c r="R39" i="75" s="1"/>
  <c r="P40" i="75"/>
  <c r="R40" i="75" s="1"/>
  <c r="P41" i="75"/>
  <c r="Q41" i="75" s="1"/>
  <c r="P22" i="75"/>
  <c r="Q22" i="75" s="1"/>
  <c r="X44" i="75"/>
  <c r="P27" i="75"/>
  <c r="S43" i="75"/>
  <c r="Q35" i="75"/>
  <c r="P23" i="75"/>
  <c r="R23" i="75" s="1"/>
  <c r="P45" i="75"/>
  <c r="Q45" i="75" s="1"/>
  <c r="P24" i="75"/>
  <c r="R24" i="75" s="1"/>
  <c r="X43" i="75"/>
  <c r="P33" i="74"/>
  <c r="P28" i="74"/>
  <c r="R28" i="74" s="1"/>
  <c r="P29" i="74"/>
  <c r="R29" i="74" s="1"/>
  <c r="S28" i="74"/>
  <c r="P30" i="74"/>
  <c r="R30" i="74" s="1"/>
  <c r="P31" i="74"/>
  <c r="R31" i="74" s="1"/>
  <c r="X62" i="73"/>
  <c r="X95" i="73"/>
  <c r="X85" i="73"/>
  <c r="X46" i="73"/>
  <c r="X33" i="73"/>
  <c r="X69" i="73"/>
  <c r="P47" i="72"/>
  <c r="X31" i="72"/>
  <c r="T24" i="79"/>
  <c r="T27" i="77"/>
  <c r="T28" i="77"/>
  <c r="T44" i="77"/>
  <c r="T32" i="77"/>
  <c r="T48" i="77"/>
  <c r="T35" i="77"/>
  <c r="V33" i="75"/>
  <c r="W33" i="75" s="1"/>
  <c r="W24" i="74"/>
  <c r="W54" i="73"/>
  <c r="X67" i="73"/>
  <c r="X53" i="72"/>
  <c r="V46" i="72"/>
  <c r="W46" i="72" s="1"/>
  <c r="X46" i="72" s="1"/>
  <c r="X22" i="72"/>
  <c r="X35" i="72"/>
  <c r="X37" i="72"/>
  <c r="X38" i="72"/>
  <c r="X40" i="72"/>
  <c r="P22" i="72"/>
  <c r="P35" i="72"/>
  <c r="P51" i="72"/>
  <c r="X23" i="72"/>
  <c r="X36" i="73"/>
  <c r="X52" i="73"/>
  <c r="X68" i="73"/>
  <c r="X102" i="73"/>
  <c r="X26" i="73"/>
  <c r="X74" i="73"/>
  <c r="X27" i="73"/>
  <c r="X59" i="73"/>
  <c r="X75" i="73"/>
  <c r="X91" i="73"/>
  <c r="X28" i="73"/>
  <c r="V86" i="73"/>
  <c r="W86" i="73" s="1"/>
  <c r="X86" i="73" s="1"/>
  <c r="X29" i="73"/>
  <c r="X77" i="73"/>
  <c r="W40" i="73"/>
  <c r="X40" i="73" s="1"/>
  <c r="X92" i="73"/>
  <c r="V100" i="73"/>
  <c r="W100" i="73" s="1"/>
  <c r="X100" i="73" s="1"/>
  <c r="X32" i="73"/>
  <c r="X48" i="73"/>
  <c r="X64" i="73"/>
  <c r="X80" i="73"/>
  <c r="X96" i="73"/>
  <c r="V22" i="73"/>
  <c r="W22" i="73" s="1"/>
  <c r="X22" i="73" s="1"/>
  <c r="V70" i="73"/>
  <c r="W70" i="73" s="1"/>
  <c r="X70" i="73" s="1"/>
  <c r="W44" i="73"/>
  <c r="X60" i="73"/>
  <c r="V84" i="73"/>
  <c r="W84" i="73" s="1"/>
  <c r="X84" i="73" s="1"/>
  <c r="X38" i="73"/>
  <c r="X54" i="73"/>
  <c r="W65" i="73"/>
  <c r="X65" i="73" s="1"/>
  <c r="W50" i="73"/>
  <c r="X50" i="73" s="1"/>
  <c r="W66" i="73"/>
  <c r="X66" i="73" s="1"/>
  <c r="P75" i="73"/>
  <c r="X51" i="73"/>
  <c r="P27" i="73"/>
  <c r="P59" i="73"/>
  <c r="P28" i="73"/>
  <c r="X61" i="73"/>
  <c r="P43" i="73"/>
  <c r="P91" i="73"/>
  <c r="P38" i="73"/>
  <c r="P77" i="73"/>
  <c r="X44" i="73"/>
  <c r="X93" i="73"/>
  <c r="P29" i="73"/>
  <c r="P60" i="73"/>
  <c r="P92" i="73"/>
  <c r="P76" i="73"/>
  <c r="P90" i="73"/>
  <c r="P26" i="73"/>
  <c r="P42" i="73"/>
  <c r="P58" i="73"/>
  <c r="P74" i="73"/>
  <c r="W25" i="72"/>
  <c r="X25" i="72" s="1"/>
  <c r="X32" i="72"/>
  <c r="V41" i="72"/>
  <c r="W41" i="72" s="1"/>
  <c r="X41" i="72" s="1"/>
  <c r="X34" i="72"/>
  <c r="X50" i="72"/>
  <c r="W30" i="72"/>
  <c r="X30" i="72" s="1"/>
  <c r="X52" i="72"/>
  <c r="V36" i="72"/>
  <c r="W36" i="72" s="1"/>
  <c r="X36" i="72" s="1"/>
  <c r="W48" i="72"/>
  <c r="X48" i="72" s="1"/>
  <c r="X26" i="72"/>
  <c r="X24" i="72"/>
  <c r="X39" i="72"/>
  <c r="X54" i="72"/>
  <c r="W50" i="72"/>
  <c r="P39" i="72"/>
  <c r="P24" i="72"/>
  <c r="P54" i="72"/>
  <c r="P26" i="72"/>
  <c r="P34" i="72"/>
  <c r="P41" i="72"/>
  <c r="P56" i="72"/>
  <c r="X43" i="72"/>
  <c r="P50" i="72"/>
  <c r="P32" i="72"/>
  <c r="Q34" i="63"/>
  <c r="S34" i="63" s="1"/>
  <c r="T30" i="63"/>
  <c r="Q30" i="63"/>
  <c r="S30" i="63" s="1"/>
  <c r="Q34" i="75"/>
  <c r="Q26" i="74"/>
  <c r="R27" i="74"/>
  <c r="Q32" i="74"/>
  <c r="T24" i="64"/>
  <c r="T23" i="64"/>
  <c r="Q27" i="65"/>
  <c r="S27" i="65" s="1"/>
  <c r="M22" i="67"/>
  <c r="I4" i="67" s="1"/>
  <c r="M22" i="73"/>
  <c r="J6" i="73" s="1"/>
  <c r="M32" i="74"/>
  <c r="S32" i="74" s="1"/>
  <c r="K6" i="53"/>
  <c r="L6" i="53"/>
  <c r="T22" i="78"/>
  <c r="K7" i="53"/>
  <c r="L7" i="53"/>
  <c r="S22" i="74"/>
  <c r="K8" i="53"/>
  <c r="L8" i="53"/>
  <c r="K9" i="53"/>
  <c r="L9" i="53"/>
  <c r="K27" i="1"/>
  <c r="H7" i="3"/>
  <c r="S26" i="75"/>
  <c r="S34" i="75"/>
  <c r="S45" i="75"/>
  <c r="T38" i="65"/>
  <c r="T54" i="65"/>
  <c r="T42" i="66"/>
  <c r="T36" i="71"/>
  <c r="T24" i="69"/>
  <c r="S33" i="74"/>
  <c r="T30" i="70"/>
  <c r="T46" i="70"/>
  <c r="S42" i="75"/>
  <c r="T47" i="66"/>
  <c r="T32" i="66"/>
  <c r="T48" i="66"/>
  <c r="Q46" i="75"/>
  <c r="T27" i="71"/>
  <c r="T43" i="71"/>
  <c r="T44" i="71"/>
  <c r="T34" i="76"/>
  <c r="T36" i="70"/>
  <c r="J19" i="54"/>
  <c r="Q19" i="54" s="1"/>
  <c r="J7" i="54"/>
  <c r="Q7" i="54" s="1"/>
  <c r="J15" i="54"/>
  <c r="Q15" i="54" s="1"/>
  <c r="L5" i="53"/>
  <c r="K5" i="53"/>
  <c r="R11" i="54"/>
  <c r="R23" i="54"/>
  <c r="I8" i="54"/>
  <c r="Q8" i="54" s="1"/>
  <c r="I12" i="54"/>
  <c r="Q12" i="54" s="1"/>
  <c r="I20" i="54"/>
  <c r="Q20" i="54" s="1"/>
  <c r="J16" i="54"/>
  <c r="Q16" i="54" s="1"/>
  <c r="J24" i="54"/>
  <c r="Q24" i="54" s="1"/>
  <c r="I5" i="54"/>
  <c r="Q5" i="54" s="1"/>
  <c r="I13" i="54"/>
  <c r="Q13" i="54" s="1"/>
  <c r="I25" i="54"/>
  <c r="Q25" i="54" s="1"/>
  <c r="J9" i="54"/>
  <c r="Q9" i="54" s="1"/>
  <c r="J17" i="54"/>
  <c r="Q17" i="54" s="1"/>
  <c r="J21" i="54"/>
  <c r="Q21" i="54" s="1"/>
  <c r="I6" i="54"/>
  <c r="Q6" i="54" s="1"/>
  <c r="I10" i="54"/>
  <c r="Q10" i="54" s="1"/>
  <c r="L30" i="1" s="1"/>
  <c r="I14" i="54"/>
  <c r="Q14" i="54" s="1"/>
  <c r="I22" i="54"/>
  <c r="Q22" i="54" s="1"/>
  <c r="J18" i="54"/>
  <c r="Q18" i="54" s="1"/>
  <c r="L34" i="1" s="1"/>
  <c r="J26" i="54"/>
  <c r="Q26" i="54" s="1"/>
  <c r="P21" i="79"/>
  <c r="P21" i="78"/>
  <c r="R22" i="78"/>
  <c r="P40" i="77"/>
  <c r="R40" i="77" s="1"/>
  <c r="R22" i="77"/>
  <c r="P57" i="76"/>
  <c r="R57" i="76" s="1"/>
  <c r="P34" i="76"/>
  <c r="R34" i="76" s="1"/>
  <c r="P26" i="76"/>
  <c r="R26" i="76" s="1"/>
  <c r="V37" i="75"/>
  <c r="W37" i="75" s="1"/>
  <c r="V35" i="75"/>
  <c r="W35" i="75" s="1"/>
  <c r="V30" i="75"/>
  <c r="W30" i="75" s="1"/>
  <c r="V22" i="75"/>
  <c r="W22" i="75" s="1"/>
  <c r="Q44" i="75"/>
  <c r="Q43" i="75"/>
  <c r="R43" i="75"/>
  <c r="P42" i="75"/>
  <c r="X42" i="75"/>
  <c r="Q38" i="75"/>
  <c r="X34" i="75"/>
  <c r="Q30" i="75"/>
  <c r="Q26" i="75"/>
  <c r="V30" i="74"/>
  <c r="W30" i="74" s="1"/>
  <c r="Q29" i="74"/>
  <c r="Q28" i="74"/>
  <c r="N14" i="74"/>
  <c r="O14" i="74" s="1"/>
  <c r="Q24" i="74"/>
  <c r="Q23" i="74"/>
  <c r="Q22" i="74"/>
  <c r="R22" i="74"/>
  <c r="V53" i="73"/>
  <c r="W53" i="73" s="1"/>
  <c r="X53" i="73" s="1"/>
  <c r="V38" i="73"/>
  <c r="W38" i="73" s="1"/>
  <c r="V35" i="73"/>
  <c r="W35" i="73" s="1"/>
  <c r="X35" i="73" s="1"/>
  <c r="P89" i="73"/>
  <c r="X89" i="73"/>
  <c r="P66" i="73"/>
  <c r="P64" i="73"/>
  <c r="X45" i="73"/>
  <c r="X30" i="73"/>
  <c r="X25" i="73"/>
  <c r="V55" i="72"/>
  <c r="W55" i="72" s="1"/>
  <c r="X55" i="72" s="1"/>
  <c r="V27" i="72"/>
  <c r="W27" i="72" s="1"/>
  <c r="X27" i="72" s="1"/>
  <c r="P33" i="71"/>
  <c r="R33" i="71" s="1"/>
  <c r="P27" i="71"/>
  <c r="R27" i="71" s="1"/>
  <c r="R22" i="71"/>
  <c r="P40" i="70"/>
  <c r="R40" i="70" s="1"/>
  <c r="P30" i="70"/>
  <c r="R30" i="70" s="1"/>
  <c r="R22" i="70"/>
  <c r="P21" i="69"/>
  <c r="P21" i="68"/>
  <c r="R22" i="68"/>
  <c r="R22" i="67"/>
  <c r="P47" i="66"/>
  <c r="R47" i="66" s="1"/>
  <c r="P42" i="66"/>
  <c r="R42" i="66" s="1"/>
  <c r="P21" i="65"/>
  <c r="R22" i="65"/>
  <c r="P21" i="64"/>
  <c r="R22" i="64"/>
  <c r="P51" i="63"/>
  <c r="R51" i="63" s="1"/>
  <c r="P44" i="63"/>
  <c r="R44" i="63" s="1"/>
  <c r="P21" i="62"/>
  <c r="R22" i="62"/>
  <c r="P90" i="61"/>
  <c r="R90" i="61" s="1"/>
  <c r="P89" i="61"/>
  <c r="R89" i="61" s="1"/>
  <c r="P63" i="61"/>
  <c r="R63" i="61" s="1"/>
  <c r="P42" i="61"/>
  <c r="R42" i="61" s="1"/>
  <c r="P31" i="61"/>
  <c r="R31" i="61" s="1"/>
  <c r="P30" i="61"/>
  <c r="R30" i="61" s="1"/>
  <c r="P25" i="61"/>
  <c r="R25" i="61" s="1"/>
  <c r="P55" i="60"/>
  <c r="R55" i="60" s="1"/>
  <c r="R22" i="60"/>
  <c r="L22" i="79"/>
  <c r="L23" i="79"/>
  <c r="M23" i="79" s="1"/>
  <c r="T23" i="79" s="1"/>
  <c r="L23" i="78"/>
  <c r="L24" i="78"/>
  <c r="M24" i="78" s="1"/>
  <c r="L39" i="77"/>
  <c r="M39" i="77" s="1"/>
  <c r="T39" i="77" s="1"/>
  <c r="L24" i="77"/>
  <c r="L40" i="77"/>
  <c r="M40" i="77" s="1"/>
  <c r="T40" i="77" s="1"/>
  <c r="L25" i="77"/>
  <c r="M25" i="77" s="1"/>
  <c r="T25" i="77" s="1"/>
  <c r="L41" i="77"/>
  <c r="M41" i="77" s="1"/>
  <c r="T41" i="77" s="1"/>
  <c r="L43" i="77"/>
  <c r="M43" i="77" s="1"/>
  <c r="T43" i="77" s="1"/>
  <c r="L29" i="77"/>
  <c r="M29" i="77" s="1"/>
  <c r="T29" i="77" s="1"/>
  <c r="L45" i="77"/>
  <c r="M45" i="77" s="1"/>
  <c r="T45" i="77" s="1"/>
  <c r="L30" i="77"/>
  <c r="M30" i="77" s="1"/>
  <c r="T30" i="77" s="1"/>
  <c r="L31" i="77"/>
  <c r="M31" i="77" s="1"/>
  <c r="T31" i="77" s="1"/>
  <c r="L37" i="76"/>
  <c r="M37" i="76" s="1"/>
  <c r="T37" i="76" s="1"/>
  <c r="L46" i="76"/>
  <c r="M46" i="76" s="1"/>
  <c r="T46" i="76" s="1"/>
  <c r="L57" i="76"/>
  <c r="M57" i="76" s="1"/>
  <c r="T57" i="76" s="1"/>
  <c r="L38" i="76"/>
  <c r="M38" i="76" s="1"/>
  <c r="T38" i="76" s="1"/>
  <c r="L58" i="76"/>
  <c r="M58" i="76" s="1"/>
  <c r="T58" i="76" s="1"/>
  <c r="L39" i="76"/>
  <c r="M39" i="76" s="1"/>
  <c r="T39" i="76" s="1"/>
  <c r="L59" i="76"/>
  <c r="M59" i="76" s="1"/>
  <c r="T59" i="76" s="1"/>
  <c r="L36" i="76"/>
  <c r="M36" i="76" s="1"/>
  <c r="T36" i="76" s="1"/>
  <c r="L60" i="76"/>
  <c r="M60" i="76" s="1"/>
  <c r="T60" i="76" s="1"/>
  <c r="L24" i="76"/>
  <c r="L25" i="76"/>
  <c r="M25" i="76" s="1"/>
  <c r="T25" i="76" s="1"/>
  <c r="L40" i="76"/>
  <c r="M40" i="76" s="1"/>
  <c r="T40" i="76" s="1"/>
  <c r="L48" i="76"/>
  <c r="M48" i="76" s="1"/>
  <c r="T48" i="76" s="1"/>
  <c r="L26" i="76"/>
  <c r="M26" i="76" s="1"/>
  <c r="T26" i="76" s="1"/>
  <c r="L41" i="76"/>
  <c r="M41" i="76" s="1"/>
  <c r="T41" i="76" s="1"/>
  <c r="L49" i="76"/>
  <c r="L27" i="76"/>
  <c r="M27" i="76" s="1"/>
  <c r="T27" i="76" s="1"/>
  <c r="L50" i="76"/>
  <c r="M50" i="76" s="1"/>
  <c r="T50" i="76" s="1"/>
  <c r="L22" i="76"/>
  <c r="L51" i="76"/>
  <c r="M51" i="76" s="1"/>
  <c r="T51" i="76" s="1"/>
  <c r="L35" i="76"/>
  <c r="M35" i="76" s="1"/>
  <c r="T35" i="76" s="1"/>
  <c r="L29" i="76"/>
  <c r="M29" i="76" s="1"/>
  <c r="T29" i="76" s="1"/>
  <c r="L30" i="76"/>
  <c r="M30" i="76" s="1"/>
  <c r="T30" i="76" s="1"/>
  <c r="L42" i="76"/>
  <c r="M42" i="76" s="1"/>
  <c r="T42" i="76" s="1"/>
  <c r="L53" i="76"/>
  <c r="M53" i="76" s="1"/>
  <c r="T53" i="76" s="1"/>
  <c r="L31" i="76"/>
  <c r="M31" i="76" s="1"/>
  <c r="T31" i="76" s="1"/>
  <c r="L43" i="76"/>
  <c r="M43" i="76" s="1"/>
  <c r="T43" i="76" s="1"/>
  <c r="L54" i="76"/>
  <c r="M54" i="76" s="1"/>
  <c r="T54" i="76" s="1"/>
  <c r="L28" i="76"/>
  <c r="M28" i="76" s="1"/>
  <c r="T28" i="76" s="1"/>
  <c r="L52" i="76"/>
  <c r="M52" i="76" s="1"/>
  <c r="T52" i="76" s="1"/>
  <c r="L44" i="76"/>
  <c r="M44" i="76" s="1"/>
  <c r="T44" i="76" s="1"/>
  <c r="L33" i="71"/>
  <c r="M33" i="71" s="1"/>
  <c r="T33" i="71" s="1"/>
  <c r="L49" i="71"/>
  <c r="M49" i="71" s="1"/>
  <c r="T49" i="71" s="1"/>
  <c r="L54" i="71"/>
  <c r="M54" i="71" s="1"/>
  <c r="T54" i="71" s="1"/>
  <c r="L38" i="71"/>
  <c r="M38" i="71" s="1"/>
  <c r="T38" i="71" s="1"/>
  <c r="L23" i="71"/>
  <c r="M23" i="71" s="1"/>
  <c r="T23" i="71" s="1"/>
  <c r="L39" i="71"/>
  <c r="M39" i="71" s="1"/>
  <c r="T39" i="71" s="1"/>
  <c r="L40" i="71"/>
  <c r="M40" i="71" s="1"/>
  <c r="T40" i="71" s="1"/>
  <c r="L56" i="71"/>
  <c r="M56" i="71" s="1"/>
  <c r="T56" i="71" s="1"/>
  <c r="L25" i="71"/>
  <c r="L57" i="71"/>
  <c r="M57" i="71" s="1"/>
  <c r="T57" i="71" s="1"/>
  <c r="L29" i="71"/>
  <c r="M29" i="71" s="1"/>
  <c r="T29" i="71" s="1"/>
  <c r="L46" i="71"/>
  <c r="M46" i="71" s="1"/>
  <c r="T46" i="71" s="1"/>
  <c r="L31" i="71"/>
  <c r="M31" i="71" s="1"/>
  <c r="T31" i="71" s="1"/>
  <c r="L27" i="70"/>
  <c r="M27" i="70" s="1"/>
  <c r="T27" i="70" s="1"/>
  <c r="L32" i="70"/>
  <c r="M32" i="70" s="1"/>
  <c r="T32" i="70" s="1"/>
  <c r="L47" i="70"/>
  <c r="M47" i="70" s="1"/>
  <c r="T47" i="70" s="1"/>
  <c r="L33" i="70"/>
  <c r="M33" i="70" s="1"/>
  <c r="T33" i="70" s="1"/>
  <c r="L34" i="70"/>
  <c r="M34" i="70" s="1"/>
  <c r="T34" i="70" s="1"/>
  <c r="L35" i="70"/>
  <c r="M35" i="70" s="1"/>
  <c r="T35" i="70" s="1"/>
  <c r="L24" i="70"/>
  <c r="L40" i="70"/>
  <c r="M40" i="70" s="1"/>
  <c r="T40" i="70" s="1"/>
  <c r="L25" i="70"/>
  <c r="M25" i="70" s="1"/>
  <c r="T25" i="70" s="1"/>
  <c r="L23" i="69"/>
  <c r="M23" i="69" s="1"/>
  <c r="T23" i="69" s="1"/>
  <c r="L26" i="69"/>
  <c r="M26" i="69" s="1"/>
  <c r="T26" i="69" s="1"/>
  <c r="L34" i="68"/>
  <c r="M34" i="68" s="1"/>
  <c r="T34" i="68" s="1"/>
  <c r="L36" i="68"/>
  <c r="M36" i="68" s="1"/>
  <c r="T36" i="68" s="1"/>
  <c r="L23" i="68"/>
  <c r="M23" i="68" s="1"/>
  <c r="T23" i="68" s="1"/>
  <c r="L24" i="68"/>
  <c r="M24" i="68" s="1"/>
  <c r="T24" i="68" s="1"/>
  <c r="L25" i="68"/>
  <c r="L26" i="68"/>
  <c r="M26" i="68" s="1"/>
  <c r="T26" i="68" s="1"/>
  <c r="L27" i="68"/>
  <c r="M27" i="68" s="1"/>
  <c r="T27" i="68" s="1"/>
  <c r="L28" i="68"/>
  <c r="M28" i="68" s="1"/>
  <c r="T28" i="68" s="1"/>
  <c r="L29" i="68"/>
  <c r="M29" i="68" s="1"/>
  <c r="T29" i="68" s="1"/>
  <c r="L31" i="68"/>
  <c r="M31" i="68" s="1"/>
  <c r="T31" i="68" s="1"/>
  <c r="L34" i="66"/>
  <c r="M34" i="66" s="1"/>
  <c r="T34" i="66" s="1"/>
  <c r="L35" i="66"/>
  <c r="M35" i="66" s="1"/>
  <c r="T35" i="66" s="1"/>
  <c r="L36" i="66"/>
  <c r="M36" i="66" s="1"/>
  <c r="T36" i="66" s="1"/>
  <c r="L37" i="66"/>
  <c r="M37" i="66" s="1"/>
  <c r="T37" i="66" s="1"/>
  <c r="L22" i="66"/>
  <c r="L38" i="66"/>
  <c r="M38" i="66" s="1"/>
  <c r="T38" i="66" s="1"/>
  <c r="L23" i="66"/>
  <c r="M23" i="66" s="1"/>
  <c r="T23" i="66" s="1"/>
  <c r="L39" i="66"/>
  <c r="M39" i="66" s="1"/>
  <c r="T39" i="66" s="1"/>
  <c r="L24" i="66"/>
  <c r="M24" i="66" s="1"/>
  <c r="T24" i="66" s="1"/>
  <c r="L25" i="66"/>
  <c r="L41" i="66"/>
  <c r="M41" i="66" s="1"/>
  <c r="T41" i="66" s="1"/>
  <c r="L26" i="66"/>
  <c r="M26" i="66" s="1"/>
  <c r="T26" i="66" s="1"/>
  <c r="L27" i="66"/>
  <c r="M27" i="66" s="1"/>
  <c r="T27" i="66" s="1"/>
  <c r="L43" i="66"/>
  <c r="M43" i="66" s="1"/>
  <c r="T43" i="66" s="1"/>
  <c r="L29" i="65"/>
  <c r="M29" i="65" s="1"/>
  <c r="T29" i="65" s="1"/>
  <c r="L61" i="65"/>
  <c r="M61" i="65" s="1"/>
  <c r="T61" i="65" s="1"/>
  <c r="L46" i="65"/>
  <c r="M46" i="65" s="1"/>
  <c r="T46" i="65" s="1"/>
  <c r="L47" i="65"/>
  <c r="M47" i="65" s="1"/>
  <c r="T47" i="65" s="1"/>
  <c r="L32" i="65"/>
  <c r="M32" i="65" s="1"/>
  <c r="T32" i="65" s="1"/>
  <c r="L33" i="65"/>
  <c r="M33" i="65" s="1"/>
  <c r="T33" i="65" s="1"/>
  <c r="L50" i="65"/>
  <c r="M50" i="65" s="1"/>
  <c r="T50" i="65" s="1"/>
  <c r="L51" i="65"/>
  <c r="M51" i="65" s="1"/>
  <c r="T51" i="65" s="1"/>
  <c r="L52" i="65"/>
  <c r="M52" i="65" s="1"/>
  <c r="T52" i="65" s="1"/>
  <c r="L34" i="65"/>
  <c r="M34" i="65" s="1"/>
  <c r="T34" i="65" s="1"/>
  <c r="L53" i="65"/>
  <c r="M53" i="65" s="1"/>
  <c r="T53" i="65" s="1"/>
  <c r="L40" i="65"/>
  <c r="M40" i="65" s="1"/>
  <c r="T40" i="65" s="1"/>
  <c r="L25" i="65"/>
  <c r="M25" i="65" s="1"/>
  <c r="T25" i="65" s="1"/>
  <c r="L22" i="65"/>
  <c r="L39" i="65"/>
  <c r="M39" i="65" s="1"/>
  <c r="T39" i="65" s="1"/>
  <c r="L57" i="65"/>
  <c r="M57" i="65" s="1"/>
  <c r="T57" i="65" s="1"/>
  <c r="L42" i="65"/>
  <c r="M42" i="65" s="1"/>
  <c r="T42" i="65" s="1"/>
  <c r="L41" i="65"/>
  <c r="M41" i="65" s="1"/>
  <c r="T41" i="65" s="1"/>
  <c r="J4" i="67"/>
  <c r="L24" i="63"/>
  <c r="M24" i="63" s="1"/>
  <c r="T24" i="63" s="1"/>
  <c r="I4" i="64"/>
  <c r="L48" i="63"/>
  <c r="M48" i="63" s="1"/>
  <c r="T48" i="63" s="1"/>
  <c r="L51" i="63"/>
  <c r="M51" i="63" s="1"/>
  <c r="T51" i="63" s="1"/>
  <c r="I5" i="75"/>
  <c r="L22" i="63"/>
  <c r="L22" i="62"/>
  <c r="L25" i="62"/>
  <c r="M25" i="62" s="1"/>
  <c r="T25" i="62" s="1"/>
  <c r="L26" i="62"/>
  <c r="M26" i="62" s="1"/>
  <c r="T26" i="62" s="1"/>
  <c r="L27" i="62"/>
  <c r="M27" i="62" s="1"/>
  <c r="T27" i="62" s="1"/>
  <c r="L28" i="62"/>
  <c r="M28" i="62" s="1"/>
  <c r="T28" i="62" s="1"/>
  <c r="L29" i="62"/>
  <c r="M29" i="62" s="1"/>
  <c r="T29" i="62" s="1"/>
  <c r="L30" i="62"/>
  <c r="M30" i="62" s="1"/>
  <c r="T30" i="62" s="1"/>
  <c r="L31" i="62"/>
  <c r="M31" i="62" s="1"/>
  <c r="T31" i="62" s="1"/>
  <c r="L33" i="62"/>
  <c r="L27" i="61"/>
  <c r="M27" i="61" s="1"/>
  <c r="T27" i="61" s="1"/>
  <c r="L43" i="61"/>
  <c r="M43" i="61" s="1"/>
  <c r="T43" i="61" s="1"/>
  <c r="L59" i="61"/>
  <c r="M59" i="61" s="1"/>
  <c r="T59" i="61" s="1"/>
  <c r="L75" i="61"/>
  <c r="M75" i="61" s="1"/>
  <c r="T75" i="61" s="1"/>
  <c r="L91" i="61"/>
  <c r="M91" i="61" s="1"/>
  <c r="T91" i="61" s="1"/>
  <c r="L28" i="61"/>
  <c r="M28" i="61" s="1"/>
  <c r="T28" i="61" s="1"/>
  <c r="L44" i="61"/>
  <c r="M44" i="61" s="1"/>
  <c r="T44" i="61" s="1"/>
  <c r="L60" i="61"/>
  <c r="M60" i="61" s="1"/>
  <c r="T60" i="61" s="1"/>
  <c r="L76" i="61"/>
  <c r="M76" i="61" s="1"/>
  <c r="T76" i="61" s="1"/>
  <c r="L92" i="61"/>
  <c r="M92" i="61" s="1"/>
  <c r="T92" i="61" s="1"/>
  <c r="L61" i="61"/>
  <c r="M61" i="61" s="1"/>
  <c r="T61" i="61" s="1"/>
  <c r="L77" i="61"/>
  <c r="M77" i="61" s="1"/>
  <c r="T77" i="61" s="1"/>
  <c r="L93" i="61"/>
  <c r="M93" i="61" s="1"/>
  <c r="T93" i="61" s="1"/>
  <c r="L30" i="61"/>
  <c r="M30" i="61" s="1"/>
  <c r="T30" i="61" s="1"/>
  <c r="L62" i="61"/>
  <c r="M62" i="61" s="1"/>
  <c r="T62" i="61" s="1"/>
  <c r="L78" i="61"/>
  <c r="M78" i="61" s="1"/>
  <c r="T78" i="61" s="1"/>
  <c r="L94" i="61"/>
  <c r="M94" i="61" s="1"/>
  <c r="T94" i="61" s="1"/>
  <c r="L47" i="61"/>
  <c r="M47" i="61" s="1"/>
  <c r="T47" i="61" s="1"/>
  <c r="L63" i="61"/>
  <c r="M63" i="61" s="1"/>
  <c r="T63" i="61" s="1"/>
  <c r="L79" i="61"/>
  <c r="M79" i="61" s="1"/>
  <c r="T79" i="61" s="1"/>
  <c r="L31" i="61"/>
  <c r="M31" i="61" s="1"/>
  <c r="T31" i="61" s="1"/>
  <c r="L32" i="61"/>
  <c r="M32" i="61" s="1"/>
  <c r="T32" i="61" s="1"/>
  <c r="L48" i="61"/>
  <c r="M48" i="61" s="1"/>
  <c r="T48" i="61" s="1"/>
  <c r="L64" i="61"/>
  <c r="M64" i="61" s="1"/>
  <c r="T64" i="61" s="1"/>
  <c r="L80" i="61"/>
  <c r="M80" i="61" s="1"/>
  <c r="T80" i="61" s="1"/>
  <c r="L96" i="61"/>
  <c r="M96" i="61" s="1"/>
  <c r="T96" i="61" s="1"/>
  <c r="L34" i="61"/>
  <c r="M34" i="61" s="1"/>
  <c r="T34" i="61" s="1"/>
  <c r="L50" i="61"/>
  <c r="M50" i="61" s="1"/>
  <c r="T50" i="61" s="1"/>
  <c r="L66" i="61"/>
  <c r="M66" i="61" s="1"/>
  <c r="T66" i="61" s="1"/>
  <c r="L82" i="61"/>
  <c r="M82" i="61" s="1"/>
  <c r="T82" i="61" s="1"/>
  <c r="L98" i="61"/>
  <c r="M98" i="61" s="1"/>
  <c r="T98" i="61" s="1"/>
  <c r="L65" i="61"/>
  <c r="M65" i="61" s="1"/>
  <c r="T65" i="61" s="1"/>
  <c r="L35" i="61"/>
  <c r="M35" i="61" s="1"/>
  <c r="T35" i="61" s="1"/>
  <c r="L51" i="61"/>
  <c r="M51" i="61" s="1"/>
  <c r="T51" i="61" s="1"/>
  <c r="L83" i="61"/>
  <c r="M83" i="61" s="1"/>
  <c r="T83" i="61" s="1"/>
  <c r="L99" i="61"/>
  <c r="M99" i="61" s="1"/>
  <c r="T99" i="61" s="1"/>
  <c r="L36" i="61"/>
  <c r="M36" i="61" s="1"/>
  <c r="T36" i="61" s="1"/>
  <c r="L52" i="61"/>
  <c r="M52" i="61" s="1"/>
  <c r="T52" i="61" s="1"/>
  <c r="L68" i="61"/>
  <c r="M68" i="61" s="1"/>
  <c r="T68" i="61" s="1"/>
  <c r="L84" i="61"/>
  <c r="M84" i="61" s="1"/>
  <c r="T84" i="61" s="1"/>
  <c r="L37" i="61"/>
  <c r="M37" i="61" s="1"/>
  <c r="T37" i="61" s="1"/>
  <c r="L53" i="61"/>
  <c r="M53" i="61" s="1"/>
  <c r="T53" i="61" s="1"/>
  <c r="L69" i="61"/>
  <c r="M69" i="61" s="1"/>
  <c r="T69" i="61" s="1"/>
  <c r="L85" i="61"/>
  <c r="M85" i="61" s="1"/>
  <c r="T85" i="61" s="1"/>
  <c r="L101" i="61"/>
  <c r="M101" i="61" s="1"/>
  <c r="T101" i="61" s="1"/>
  <c r="L38" i="61"/>
  <c r="M38" i="61" s="1"/>
  <c r="T38" i="61" s="1"/>
  <c r="L54" i="61"/>
  <c r="M54" i="61" s="1"/>
  <c r="T54" i="61" s="1"/>
  <c r="L70" i="61"/>
  <c r="M70" i="61" s="1"/>
  <c r="T70" i="61" s="1"/>
  <c r="L86" i="61"/>
  <c r="M86" i="61" s="1"/>
  <c r="T86" i="61" s="1"/>
  <c r="L39" i="61"/>
  <c r="M39" i="61" s="1"/>
  <c r="T39" i="61" s="1"/>
  <c r="L55" i="61"/>
  <c r="M55" i="61" s="1"/>
  <c r="T55" i="61" s="1"/>
  <c r="L71" i="61"/>
  <c r="M71" i="61" s="1"/>
  <c r="T71" i="61" s="1"/>
  <c r="L87" i="61"/>
  <c r="M87" i="61" s="1"/>
  <c r="T87" i="61" s="1"/>
  <c r="J4" i="64"/>
  <c r="L24" i="61"/>
  <c r="L40" i="61"/>
  <c r="M40" i="61" s="1"/>
  <c r="T40" i="61" s="1"/>
  <c r="L56" i="61"/>
  <c r="M56" i="61" s="1"/>
  <c r="T56" i="61" s="1"/>
  <c r="L72" i="61"/>
  <c r="M72" i="61" s="1"/>
  <c r="T72" i="61" s="1"/>
  <c r="L88" i="61"/>
  <c r="M88" i="61" s="1"/>
  <c r="T88" i="61" s="1"/>
  <c r="L104" i="61"/>
  <c r="M104" i="61" s="1"/>
  <c r="T104" i="61" s="1"/>
  <c r="I13" i="73"/>
  <c r="L25" i="61"/>
  <c r="M25" i="61" s="1"/>
  <c r="T25" i="61" s="1"/>
  <c r="L41" i="61"/>
  <c r="M41" i="61" s="1"/>
  <c r="T41" i="61" s="1"/>
  <c r="L57" i="61"/>
  <c r="M57" i="61" s="1"/>
  <c r="T57" i="61" s="1"/>
  <c r="L73" i="61"/>
  <c r="M73" i="61" s="1"/>
  <c r="T73" i="61" s="1"/>
  <c r="J9" i="72"/>
  <c r="J13" i="73"/>
  <c r="J5" i="75"/>
  <c r="L31" i="60"/>
  <c r="M31" i="60" s="1"/>
  <c r="T31" i="60" s="1"/>
  <c r="L47" i="60"/>
  <c r="M47" i="60" s="1"/>
  <c r="T47" i="60" s="1"/>
  <c r="I4" i="74"/>
  <c r="L32" i="60"/>
  <c r="M32" i="60" s="1"/>
  <c r="T32" i="60" s="1"/>
  <c r="L48" i="60"/>
  <c r="M48" i="60" s="1"/>
  <c r="T48" i="60" s="1"/>
  <c r="J4" i="74"/>
  <c r="L33" i="60"/>
  <c r="M33" i="60" s="1"/>
  <c r="T33" i="60" s="1"/>
  <c r="L49" i="60"/>
  <c r="M49" i="60" s="1"/>
  <c r="T49" i="60" s="1"/>
  <c r="I4" i="73"/>
  <c r="I5" i="74"/>
  <c r="I6" i="75"/>
  <c r="L34" i="60"/>
  <c r="M34" i="60" s="1"/>
  <c r="T34" i="60" s="1"/>
  <c r="L50" i="60"/>
  <c r="M50" i="60" s="1"/>
  <c r="T50" i="60" s="1"/>
  <c r="J5" i="74"/>
  <c r="L35" i="60"/>
  <c r="M35" i="60" s="1"/>
  <c r="T35" i="60" s="1"/>
  <c r="I5" i="73"/>
  <c r="I6" i="74"/>
  <c r="I7" i="75"/>
  <c r="L36" i="60"/>
  <c r="M36" i="60" s="1"/>
  <c r="T36" i="60" s="1"/>
  <c r="L52" i="60"/>
  <c r="M52" i="60" s="1"/>
  <c r="T52" i="60" s="1"/>
  <c r="J4" i="73"/>
  <c r="J6" i="75"/>
  <c r="J5" i="73"/>
  <c r="J6" i="74"/>
  <c r="J7" i="75"/>
  <c r="L22" i="60"/>
  <c r="L37" i="60"/>
  <c r="M37" i="60" s="1"/>
  <c r="T37" i="60" s="1"/>
  <c r="I5" i="72"/>
  <c r="I6" i="73"/>
  <c r="I7" i="74"/>
  <c r="I8" i="75"/>
  <c r="L38" i="60"/>
  <c r="M38" i="60" s="1"/>
  <c r="T38" i="60" s="1"/>
  <c r="J5" i="72"/>
  <c r="I7" i="73"/>
  <c r="J7" i="74"/>
  <c r="J8" i="75"/>
  <c r="L39" i="60"/>
  <c r="M39" i="60" s="1"/>
  <c r="T39" i="60" s="1"/>
  <c r="I8" i="73"/>
  <c r="I8" i="74"/>
  <c r="L56" i="60"/>
  <c r="M56" i="60" s="1"/>
  <c r="T56" i="60" s="1"/>
  <c r="L46" i="60"/>
  <c r="M46" i="60" s="1"/>
  <c r="T46" i="60" s="1"/>
  <c r="J6" i="72"/>
  <c r="J8" i="73"/>
  <c r="J8" i="74"/>
  <c r="L41" i="60"/>
  <c r="M41" i="60" s="1"/>
  <c r="T41" i="60" s="1"/>
  <c r="L57" i="60"/>
  <c r="M57" i="60" s="1"/>
  <c r="T57" i="60" s="1"/>
  <c r="I9" i="73"/>
  <c r="I9" i="74"/>
  <c r="L27" i="60"/>
  <c r="L42" i="60"/>
  <c r="M42" i="60" s="1"/>
  <c r="T42" i="60" s="1"/>
  <c r="J7" i="72"/>
  <c r="I10" i="73"/>
  <c r="L43" i="60"/>
  <c r="M43" i="60" s="1"/>
  <c r="T43" i="60" s="1"/>
  <c r="I8" i="72"/>
  <c r="I11" i="73"/>
  <c r="I4" i="75"/>
  <c r="L44" i="60"/>
  <c r="M44" i="60" s="1"/>
  <c r="T44" i="60" s="1"/>
  <c r="L29" i="60"/>
  <c r="M29" i="60" s="1"/>
  <c r="T29" i="60" s="1"/>
  <c r="J10" i="73"/>
  <c r="J7" i="73"/>
  <c r="J9" i="73"/>
  <c r="J11" i="73"/>
  <c r="J12" i="73"/>
  <c r="L37" i="1" l="1"/>
  <c r="L21" i="78"/>
  <c r="R21" i="78" s="1"/>
  <c r="L35" i="1"/>
  <c r="Q30" i="74"/>
  <c r="Q31" i="74"/>
  <c r="I6" i="72"/>
  <c r="J4" i="72"/>
  <c r="J10" i="72"/>
  <c r="I7" i="72"/>
  <c r="I10" i="72"/>
  <c r="T22" i="64"/>
  <c r="I4" i="72"/>
  <c r="Q33" i="75"/>
  <c r="P21" i="60"/>
  <c r="L21" i="69"/>
  <c r="L21" i="77"/>
  <c r="P21" i="74"/>
  <c r="L21" i="70"/>
  <c r="E36" i="1" s="1"/>
  <c r="L21" i="61"/>
  <c r="P21" i="66"/>
  <c r="P28" i="1"/>
  <c r="L8" i="23"/>
  <c r="L21" i="63"/>
  <c r="M22" i="63"/>
  <c r="I5" i="63" s="1"/>
  <c r="P27" i="1"/>
  <c r="L7" i="23"/>
  <c r="L21" i="62"/>
  <c r="M22" i="62"/>
  <c r="L27" i="1"/>
  <c r="I7" i="3"/>
  <c r="E35" i="1"/>
  <c r="R21" i="69"/>
  <c r="J5" i="69"/>
  <c r="L21" i="66"/>
  <c r="L32" i="1"/>
  <c r="I6" i="69"/>
  <c r="P21" i="63"/>
  <c r="P21" i="70"/>
  <c r="R21" i="70" s="1"/>
  <c r="L31" i="1"/>
  <c r="M22" i="79"/>
  <c r="T22" i="79" s="1"/>
  <c r="T14" i="79" s="1"/>
  <c r="L21" i="79"/>
  <c r="R21" i="79" s="1"/>
  <c r="L28" i="1"/>
  <c r="L36" i="1"/>
  <c r="E30" i="1"/>
  <c r="R21" i="64"/>
  <c r="M33" i="62"/>
  <c r="T33" i="62" s="1"/>
  <c r="M22" i="76"/>
  <c r="T22" i="76" s="1"/>
  <c r="L21" i="76"/>
  <c r="E27" i="1" s="1"/>
  <c r="P26" i="1"/>
  <c r="L6" i="23"/>
  <c r="N6" i="23" s="1"/>
  <c r="M6" i="23" s="1"/>
  <c r="P32" i="1"/>
  <c r="L11" i="23"/>
  <c r="L21" i="68"/>
  <c r="Q25" i="75"/>
  <c r="L21" i="71"/>
  <c r="T14" i="64"/>
  <c r="R3" i="54"/>
  <c r="L21" i="65"/>
  <c r="Q39" i="75"/>
  <c r="P21" i="61"/>
  <c r="R21" i="61" s="1"/>
  <c r="T22" i="61"/>
  <c r="Q22" i="61"/>
  <c r="S22" i="61" s="1"/>
  <c r="I10" i="61"/>
  <c r="M24" i="61"/>
  <c r="J8" i="61" s="1"/>
  <c r="L21" i="60"/>
  <c r="M22" i="60"/>
  <c r="I8" i="60" s="1"/>
  <c r="M27" i="60"/>
  <c r="T27" i="60" s="1"/>
  <c r="Q28" i="75"/>
  <c r="Q29" i="75"/>
  <c r="Q23" i="75"/>
  <c r="Q36" i="75"/>
  <c r="Q24" i="75"/>
  <c r="R31" i="75"/>
  <c r="Q32" i="75"/>
  <c r="Q37" i="75"/>
  <c r="R41" i="75"/>
  <c r="Q40" i="75"/>
  <c r="R22" i="75"/>
  <c r="N14" i="75"/>
  <c r="O14" i="75" s="1"/>
  <c r="P21" i="75"/>
  <c r="Q27" i="75"/>
  <c r="R27" i="75"/>
  <c r="R45" i="75"/>
  <c r="M21" i="75"/>
  <c r="R33" i="74"/>
  <c r="Q33" i="74"/>
  <c r="Q21" i="74" s="1"/>
  <c r="I5" i="79"/>
  <c r="P21" i="73"/>
  <c r="P21" i="72"/>
  <c r="N14" i="72"/>
  <c r="O14" i="72" s="1"/>
  <c r="T14" i="69"/>
  <c r="S14" i="75"/>
  <c r="S14" i="74"/>
  <c r="I12" i="73"/>
  <c r="P21" i="77"/>
  <c r="R21" i="77" s="1"/>
  <c r="M49" i="76"/>
  <c r="T49" i="76" s="1"/>
  <c r="M22" i="65"/>
  <c r="I4" i="65" s="1"/>
  <c r="J4" i="75"/>
  <c r="M25" i="68"/>
  <c r="M21" i="68" s="1"/>
  <c r="J9" i="74"/>
  <c r="M25" i="66"/>
  <c r="T25" i="66" s="1"/>
  <c r="M24" i="70"/>
  <c r="J5" i="70" s="1"/>
  <c r="M24" i="76"/>
  <c r="T24" i="76" s="1"/>
  <c r="M21" i="72"/>
  <c r="M25" i="71"/>
  <c r="J7" i="71" s="1"/>
  <c r="M24" i="77"/>
  <c r="J8" i="72"/>
  <c r="M21" i="69"/>
  <c r="M21" i="73"/>
  <c r="M22" i="66"/>
  <c r="T24" i="78"/>
  <c r="M23" i="78"/>
  <c r="I4" i="78" s="1"/>
  <c r="P21" i="71"/>
  <c r="M21" i="67"/>
  <c r="T22" i="67"/>
  <c r="T14" i="67" s="1"/>
  <c r="M21" i="74"/>
  <c r="L3" i="53"/>
  <c r="P21" i="76"/>
  <c r="R42" i="75"/>
  <c r="Q42" i="75"/>
  <c r="L11" i="74"/>
  <c r="L10" i="74"/>
  <c r="L9" i="74"/>
  <c r="L8" i="74"/>
  <c r="N14" i="73"/>
  <c r="O14" i="73" s="1"/>
  <c r="I5" i="69"/>
  <c r="J7" i="69"/>
  <c r="J4" i="69"/>
  <c r="I7" i="69"/>
  <c r="J6" i="69"/>
  <c r="I4" i="69"/>
  <c r="J8" i="65"/>
  <c r="I6" i="65"/>
  <c r="I5" i="65"/>
  <c r="J5" i="65"/>
  <c r="I8" i="65"/>
  <c r="J10" i="65"/>
  <c r="J9" i="65"/>
  <c r="J7" i="65"/>
  <c r="I7" i="65"/>
  <c r="J9" i="61"/>
  <c r="J13" i="61"/>
  <c r="I9" i="61"/>
  <c r="J5" i="61"/>
  <c r="I4" i="61"/>
  <c r="I7" i="61"/>
  <c r="I11" i="61"/>
  <c r="I12" i="61"/>
  <c r="J4" i="61"/>
  <c r="I5" i="61"/>
  <c r="I13" i="61"/>
  <c r="J10" i="61"/>
  <c r="I6" i="60"/>
  <c r="J9" i="60"/>
  <c r="J7" i="60"/>
  <c r="I7" i="60"/>
  <c r="J6" i="60"/>
  <c r="J10" i="60"/>
  <c r="J4" i="60"/>
  <c r="J5" i="60"/>
  <c r="I5" i="60"/>
  <c r="I4" i="60"/>
  <c r="I10" i="60"/>
  <c r="I9" i="60"/>
  <c r="J9" i="70" l="1"/>
  <c r="J4" i="70"/>
  <c r="J5" i="79"/>
  <c r="J5" i="62"/>
  <c r="J8" i="62"/>
  <c r="J4" i="62"/>
  <c r="J7" i="62"/>
  <c r="I8" i="62"/>
  <c r="I10" i="76"/>
  <c r="I9" i="76"/>
  <c r="J4" i="65"/>
  <c r="J9" i="76"/>
  <c r="I4" i="79"/>
  <c r="I9" i="65"/>
  <c r="J8" i="60"/>
  <c r="I8" i="63"/>
  <c r="J6" i="62"/>
  <c r="M21" i="79"/>
  <c r="I4" i="62"/>
  <c r="I7" i="62"/>
  <c r="J4" i="79"/>
  <c r="I10" i="65"/>
  <c r="I5" i="76"/>
  <c r="T22" i="62"/>
  <c r="T14" i="62" s="1"/>
  <c r="M21" i="62"/>
  <c r="J8" i="76"/>
  <c r="T22" i="63"/>
  <c r="T14" i="63" s="1"/>
  <c r="J9" i="63"/>
  <c r="M21" i="63"/>
  <c r="J8" i="63"/>
  <c r="J6" i="63"/>
  <c r="I4" i="63"/>
  <c r="I12" i="76"/>
  <c r="E32" i="1"/>
  <c r="R21" i="66"/>
  <c r="E29" i="1"/>
  <c r="R21" i="63"/>
  <c r="J6" i="61"/>
  <c r="M21" i="76"/>
  <c r="I6" i="62"/>
  <c r="I9" i="63"/>
  <c r="J5" i="63"/>
  <c r="E28" i="1"/>
  <c r="R21" i="62"/>
  <c r="I6" i="63"/>
  <c r="J7" i="63"/>
  <c r="E37" i="1"/>
  <c r="R21" i="71"/>
  <c r="J4" i="63"/>
  <c r="I6" i="61"/>
  <c r="R21" i="76"/>
  <c r="I7" i="70"/>
  <c r="J7" i="61"/>
  <c r="J12" i="76"/>
  <c r="I8" i="70"/>
  <c r="I6" i="76"/>
  <c r="I9" i="62"/>
  <c r="I8" i="61"/>
  <c r="I8" i="76"/>
  <c r="J8" i="70"/>
  <c r="I5" i="70"/>
  <c r="E34" i="1"/>
  <c r="R21" i="68"/>
  <c r="I7" i="63"/>
  <c r="I7" i="76"/>
  <c r="J9" i="62"/>
  <c r="I5" i="62"/>
  <c r="E31" i="1"/>
  <c r="R21" i="65"/>
  <c r="T24" i="61"/>
  <c r="T14" i="61" s="1"/>
  <c r="J11" i="61"/>
  <c r="J12" i="61"/>
  <c r="M21" i="61"/>
  <c r="M21" i="60"/>
  <c r="T22" i="60"/>
  <c r="T14" i="60" s="1"/>
  <c r="E26" i="1"/>
  <c r="R21" i="60"/>
  <c r="J5" i="76"/>
  <c r="J10" i="76"/>
  <c r="L10" i="75"/>
  <c r="L11" i="75"/>
  <c r="L8" i="75"/>
  <c r="L9" i="75"/>
  <c r="Q21" i="75"/>
  <c r="R21" i="75" s="1"/>
  <c r="R21" i="74"/>
  <c r="G28" i="1"/>
  <c r="D8" i="3"/>
  <c r="L8" i="72"/>
  <c r="L11" i="72"/>
  <c r="L9" i="72"/>
  <c r="L10" i="72"/>
  <c r="J8" i="71"/>
  <c r="M21" i="71"/>
  <c r="T14" i="76"/>
  <c r="J6" i="76"/>
  <c r="J10" i="70"/>
  <c r="T25" i="68"/>
  <c r="T14" i="68" s="1"/>
  <c r="I4" i="68"/>
  <c r="I5" i="68"/>
  <c r="J4" i="68"/>
  <c r="M21" i="66"/>
  <c r="J10" i="66"/>
  <c r="T22" i="66"/>
  <c r="T14" i="66" s="1"/>
  <c r="J6" i="66"/>
  <c r="I4" i="66"/>
  <c r="I7" i="66"/>
  <c r="J8" i="66"/>
  <c r="I5" i="66"/>
  <c r="I10" i="66"/>
  <c r="J4" i="66"/>
  <c r="I8" i="66"/>
  <c r="J9" i="66"/>
  <c r="I9" i="66"/>
  <c r="J7" i="66"/>
  <c r="J5" i="68"/>
  <c r="I6" i="66"/>
  <c r="I6" i="68"/>
  <c r="M21" i="65"/>
  <c r="T22" i="65"/>
  <c r="T14" i="65" s="1"/>
  <c r="I9" i="70"/>
  <c r="J11" i="76"/>
  <c r="T24" i="77"/>
  <c r="T14" i="77" s="1"/>
  <c r="I7" i="77"/>
  <c r="J7" i="77"/>
  <c r="J6" i="77"/>
  <c r="J5" i="77"/>
  <c r="J8" i="77"/>
  <c r="I9" i="77"/>
  <c r="I5" i="77"/>
  <c r="I6" i="77"/>
  <c r="J9" i="77"/>
  <c r="M21" i="77"/>
  <c r="I4" i="77"/>
  <c r="I8" i="77"/>
  <c r="J7" i="76"/>
  <c r="J6" i="65"/>
  <c r="J4" i="77"/>
  <c r="I6" i="70"/>
  <c r="I11" i="76"/>
  <c r="T25" i="71"/>
  <c r="T14" i="71" s="1"/>
  <c r="J9" i="71"/>
  <c r="J4" i="71"/>
  <c r="J10" i="71"/>
  <c r="I6" i="71"/>
  <c r="I9" i="71"/>
  <c r="I4" i="71"/>
  <c r="J5" i="71"/>
  <c r="I7" i="71"/>
  <c r="I10" i="71"/>
  <c r="I5" i="71"/>
  <c r="I8" i="71"/>
  <c r="J6" i="71"/>
  <c r="J4" i="76"/>
  <c r="J6" i="68"/>
  <c r="T24" i="70"/>
  <c r="T14" i="70" s="1"/>
  <c r="I4" i="70"/>
  <c r="M21" i="70"/>
  <c r="J6" i="70"/>
  <c r="I10" i="70"/>
  <c r="I4" i="76"/>
  <c r="T23" i="78"/>
  <c r="T14" i="78" s="1"/>
  <c r="M21" i="78"/>
  <c r="J4" i="78"/>
  <c r="J5" i="66"/>
  <c r="J7" i="70"/>
  <c r="L11" i="73"/>
  <c r="L10" i="73"/>
  <c r="L9" i="73"/>
  <c r="L8" i="73"/>
  <c r="G29" i="1" l="1"/>
  <c r="D9" i="3"/>
  <c r="N7" i="23"/>
  <c r="M7" i="23" s="1"/>
  <c r="N8" i="23"/>
  <c r="M8" i="23" s="1"/>
  <c r="N11" i="23"/>
  <c r="M11" i="23" s="1"/>
  <c r="B13" i="79"/>
  <c r="B4" i="79"/>
  <c r="N2" i="79"/>
  <c r="B13" i="78"/>
  <c r="B4" i="78"/>
  <c r="N2" i="78"/>
  <c r="B13" i="77"/>
  <c r="B4" i="77"/>
  <c r="N2" i="77"/>
  <c r="B13" i="76"/>
  <c r="B4" i="76"/>
  <c r="N2" i="76"/>
  <c r="B13" i="75"/>
  <c r="B4" i="75"/>
  <c r="N2" i="75"/>
  <c r="B13" i="74"/>
  <c r="B4" i="74"/>
  <c r="N2" i="74"/>
  <c r="B13" i="73"/>
  <c r="B4" i="73"/>
  <c r="N2" i="73"/>
  <c r="B13" i="72"/>
  <c r="B4" i="72"/>
  <c r="N2" i="72"/>
  <c r="B13" i="71"/>
  <c r="B4" i="71"/>
  <c r="N2" i="71"/>
  <c r="B13" i="70"/>
  <c r="B4" i="70"/>
  <c r="N2" i="70"/>
  <c r="B13" i="69"/>
  <c r="B4" i="69"/>
  <c r="N2" i="69"/>
  <c r="B13" i="68"/>
  <c r="B4" i="68"/>
  <c r="N2" i="68"/>
  <c r="B13" i="67"/>
  <c r="B4" i="67"/>
  <c r="N2" i="67"/>
  <c r="B13" i="66"/>
  <c r="B4" i="66"/>
  <c r="N2" i="66"/>
  <c r="B13" i="65"/>
  <c r="B4" i="65"/>
  <c r="N2" i="65"/>
  <c r="B13" i="64"/>
  <c r="B4" i="64"/>
  <c r="N2" i="64"/>
  <c r="B13" i="63"/>
  <c r="B4" i="63"/>
  <c r="N2" i="63"/>
  <c r="B13" i="62"/>
  <c r="B4" i="62"/>
  <c r="N2" i="62"/>
  <c r="B13" i="61"/>
  <c r="B4" i="61"/>
  <c r="N2" i="61"/>
  <c r="B13" i="60"/>
  <c r="B4" i="60"/>
  <c r="N2" i="60"/>
  <c r="N23" i="44" l="1"/>
  <c r="O23" i="44"/>
  <c r="P23" i="44"/>
  <c r="M23" i="44"/>
  <c r="N23" i="43" l="1"/>
  <c r="O23" i="43"/>
  <c r="P23" i="43"/>
  <c r="M23" i="43"/>
  <c r="D77" i="44"/>
  <c r="D76" i="43"/>
  <c r="D76" i="29"/>
  <c r="D76" i="38"/>
  <c r="F59" i="44"/>
  <c r="F44" i="44"/>
  <c r="F36" i="44"/>
  <c r="F61" i="44" s="1"/>
  <c r="F57" i="43"/>
  <c r="F42" i="43"/>
  <c r="F34" i="43"/>
  <c r="F59" i="43" s="1"/>
  <c r="F57" i="29"/>
  <c r="F42" i="29"/>
  <c r="F34" i="29"/>
  <c r="F59" i="29" s="1"/>
  <c r="F57" i="38"/>
  <c r="F42" i="38"/>
  <c r="F34" i="38"/>
  <c r="F59" i="38" s="1"/>
  <c r="E2" i="25"/>
  <c r="F30" i="44" l="1"/>
  <c r="D25" i="44"/>
  <c r="D23" i="44"/>
  <c r="D21" i="44"/>
  <c r="D19" i="44"/>
  <c r="F28" i="43"/>
  <c r="D23" i="43"/>
  <c r="D21" i="43"/>
  <c r="D19" i="43"/>
  <c r="D17" i="43"/>
  <c r="F28" i="29"/>
  <c r="D23" i="29"/>
  <c r="D21" i="29"/>
  <c r="D19" i="29"/>
  <c r="D17" i="29"/>
  <c r="F28" i="38"/>
  <c r="D23" i="38"/>
  <c r="D21" i="38"/>
  <c r="D19" i="38"/>
  <c r="D17" i="38"/>
  <c r="B2" i="55" l="1"/>
  <c r="E2" i="55"/>
  <c r="E2" i="54"/>
  <c r="B2" i="54" l="1"/>
  <c r="B2" i="53"/>
  <c r="B2" i="25"/>
  <c r="E2" i="53" l="1"/>
  <c r="C2" i="38" l="1"/>
  <c r="C2" i="29"/>
  <c r="C2" i="43"/>
  <c r="C2" i="44"/>
  <c r="C2" i="23" l="1"/>
  <c r="C2" i="3" l="1"/>
  <c r="E1" i="46" l="1"/>
  <c r="E1" i="44"/>
  <c r="E1" i="43"/>
  <c r="E1" i="29"/>
  <c r="E1" i="38"/>
  <c r="I2" i="1"/>
  <c r="B2" i="46" l="1"/>
  <c r="K70" i="44" l="1"/>
  <c r="K69" i="44"/>
  <c r="K68" i="44"/>
  <c r="K67" i="44"/>
  <c r="K62" i="44"/>
  <c r="K58" i="44"/>
  <c r="H58" i="44"/>
  <c r="K57" i="44"/>
  <c r="H57" i="44"/>
  <c r="K56" i="44"/>
  <c r="H56" i="44"/>
  <c r="K55" i="44"/>
  <c r="H55" i="44"/>
  <c r="K54" i="44"/>
  <c r="H54" i="44"/>
  <c r="K53" i="44"/>
  <c r="H53" i="44"/>
  <c r="K52" i="44"/>
  <c r="H52" i="44"/>
  <c r="K50" i="44"/>
  <c r="H50" i="44"/>
  <c r="K49" i="44"/>
  <c r="H49" i="44"/>
  <c r="K48" i="44"/>
  <c r="H48" i="44"/>
  <c r="K43" i="44"/>
  <c r="H43" i="44"/>
  <c r="K42" i="44"/>
  <c r="H42" i="44"/>
  <c r="K41" i="44"/>
  <c r="H41" i="44"/>
  <c r="K40" i="44"/>
  <c r="H40" i="44"/>
  <c r="K35" i="44"/>
  <c r="H35" i="44"/>
  <c r="K34" i="44"/>
  <c r="H34" i="44"/>
  <c r="K29" i="44"/>
  <c r="H29" i="44"/>
  <c r="K27" i="44"/>
  <c r="F16" i="44"/>
  <c r="D28" i="44" s="1"/>
  <c r="K15" i="44"/>
  <c r="H15" i="44"/>
  <c r="K14" i="44"/>
  <c r="H14" i="44"/>
  <c r="K13" i="44"/>
  <c r="H13" i="44"/>
  <c r="K12" i="44"/>
  <c r="H12" i="44"/>
  <c r="K11" i="44"/>
  <c r="H11" i="44"/>
  <c r="H8" i="44"/>
  <c r="P9" i="44" s="1"/>
  <c r="K7" i="44"/>
  <c r="K68" i="43"/>
  <c r="K67" i="43"/>
  <c r="K66" i="43"/>
  <c r="K65" i="43"/>
  <c r="K60" i="43"/>
  <c r="H60" i="43"/>
  <c r="K56" i="43"/>
  <c r="H56" i="43"/>
  <c r="K55" i="43"/>
  <c r="H55" i="43"/>
  <c r="K54" i="43"/>
  <c r="H54" i="43"/>
  <c r="K53" i="43"/>
  <c r="H53" i="43"/>
  <c r="K52" i="43"/>
  <c r="H52" i="43"/>
  <c r="K51" i="43"/>
  <c r="H51" i="43"/>
  <c r="K50" i="43"/>
  <c r="H50" i="43"/>
  <c r="K48" i="43"/>
  <c r="H48" i="43"/>
  <c r="K47" i="43"/>
  <c r="H47" i="43"/>
  <c r="K46" i="43"/>
  <c r="H46" i="43"/>
  <c r="K41" i="43"/>
  <c r="H41" i="43"/>
  <c r="K40" i="43"/>
  <c r="H40" i="43"/>
  <c r="K39" i="43"/>
  <c r="H39" i="43"/>
  <c r="K38" i="43"/>
  <c r="H38" i="43"/>
  <c r="K33" i="43"/>
  <c r="H33" i="43"/>
  <c r="K32" i="43"/>
  <c r="H32" i="43"/>
  <c r="H28" i="43"/>
  <c r="K27" i="43"/>
  <c r="H27" i="43"/>
  <c r="K25" i="43"/>
  <c r="F14" i="43"/>
  <c r="K13" i="43"/>
  <c r="H13" i="43"/>
  <c r="H14" i="43" s="1"/>
  <c r="K14" i="43" s="1"/>
  <c r="K12" i="43"/>
  <c r="H12" i="43"/>
  <c r="K11" i="43"/>
  <c r="H11" i="43"/>
  <c r="K10" i="43"/>
  <c r="H10" i="43"/>
  <c r="P9" i="43"/>
  <c r="O9" i="43"/>
  <c r="N9" i="43"/>
  <c r="M9" i="43"/>
  <c r="K9" i="43"/>
  <c r="H9" i="43"/>
  <c r="K68" i="29"/>
  <c r="K67" i="29"/>
  <c r="K66" i="29"/>
  <c r="K65" i="29"/>
  <c r="K60" i="29"/>
  <c r="K56" i="29"/>
  <c r="K55" i="29"/>
  <c r="K54" i="29"/>
  <c r="K53" i="29"/>
  <c r="K52" i="29"/>
  <c r="K51" i="29"/>
  <c r="K50" i="29"/>
  <c r="K48" i="29"/>
  <c r="K47" i="29"/>
  <c r="K46" i="29"/>
  <c r="K41" i="29"/>
  <c r="K40" i="29"/>
  <c r="K39" i="29"/>
  <c r="K38" i="29"/>
  <c r="K33" i="29"/>
  <c r="K32" i="29"/>
  <c r="K27" i="29"/>
  <c r="K25" i="29"/>
  <c r="K13" i="29"/>
  <c r="K12" i="29"/>
  <c r="K11" i="29"/>
  <c r="K10" i="29"/>
  <c r="K9" i="29"/>
  <c r="K68" i="38"/>
  <c r="K67" i="38"/>
  <c r="K66" i="38"/>
  <c r="K65" i="38"/>
  <c r="K60" i="38"/>
  <c r="K56" i="38"/>
  <c r="K55" i="38"/>
  <c r="K54" i="38"/>
  <c r="K53" i="38"/>
  <c r="K52" i="38"/>
  <c r="K51" i="38"/>
  <c r="K50" i="38"/>
  <c r="K48" i="38"/>
  <c r="K47" i="38"/>
  <c r="K46" i="38"/>
  <c r="K41" i="38"/>
  <c r="K40" i="38"/>
  <c r="K39" i="38"/>
  <c r="K38" i="38"/>
  <c r="K33" i="38"/>
  <c r="K32" i="38"/>
  <c r="K27" i="38"/>
  <c r="K25" i="38"/>
  <c r="K13" i="38"/>
  <c r="K12" i="38"/>
  <c r="K11" i="38"/>
  <c r="K10" i="38"/>
  <c r="K9" i="38"/>
  <c r="H56" i="29"/>
  <c r="H55" i="29"/>
  <c r="H54" i="29"/>
  <c r="H53" i="29"/>
  <c r="H52" i="29"/>
  <c r="H51" i="29"/>
  <c r="H50" i="29"/>
  <c r="H48" i="29"/>
  <c r="H47" i="29"/>
  <c r="H46" i="29"/>
  <c r="H41" i="29"/>
  <c r="H40" i="29"/>
  <c r="H39" i="29"/>
  <c r="H38" i="29"/>
  <c r="H33" i="29"/>
  <c r="H32" i="29"/>
  <c r="H28" i="29"/>
  <c r="H27" i="29"/>
  <c r="H13" i="29"/>
  <c r="H14" i="29" s="1"/>
  <c r="K14" i="29" s="1"/>
  <c r="H12" i="29"/>
  <c r="H11" i="29"/>
  <c r="H10" i="29"/>
  <c r="H9" i="29"/>
  <c r="H56" i="38"/>
  <c r="H55" i="38"/>
  <c r="H54" i="38"/>
  <c r="H53" i="38"/>
  <c r="H52" i="38"/>
  <c r="H51" i="38"/>
  <c r="H50" i="38"/>
  <c r="H48" i="38"/>
  <c r="H47" i="38"/>
  <c r="H46" i="38"/>
  <c r="H41" i="38"/>
  <c r="H40" i="38"/>
  <c r="H39" i="38"/>
  <c r="H38" i="38"/>
  <c r="H33" i="38"/>
  <c r="H32" i="38"/>
  <c r="H28" i="38"/>
  <c r="H27" i="38"/>
  <c r="H13" i="38"/>
  <c r="H14" i="38" s="1"/>
  <c r="K14" i="38" s="1"/>
  <c r="H12" i="38"/>
  <c r="H11" i="38"/>
  <c r="H10" i="38"/>
  <c r="H9" i="38"/>
  <c r="F14" i="38"/>
  <c r="D26" i="38" s="1"/>
  <c r="F26" i="38" s="1"/>
  <c r="F14" i="29"/>
  <c r="D18" i="29" s="1"/>
  <c r="B3" i="23"/>
  <c r="B3" i="3"/>
  <c r="H16" i="44" l="1"/>
  <c r="K16" i="44" s="1"/>
  <c r="D22" i="44"/>
  <c r="F22" i="44" s="1"/>
  <c r="H22" i="44" s="1"/>
  <c r="D24" i="44"/>
  <c r="F24" i="44" s="1"/>
  <c r="F28" i="44"/>
  <c r="H28" i="44" s="1"/>
  <c r="D20" i="44"/>
  <c r="O9" i="44"/>
  <c r="H42" i="43"/>
  <c r="K42" i="43" s="1"/>
  <c r="N9" i="44"/>
  <c r="D20" i="29"/>
  <c r="F20" i="29" s="1"/>
  <c r="D24" i="43"/>
  <c r="H57" i="43"/>
  <c r="H59" i="44"/>
  <c r="H61" i="44" s="1"/>
  <c r="D26" i="29"/>
  <c r="F26" i="29" s="1"/>
  <c r="H34" i="38"/>
  <c r="K34" i="38" s="1"/>
  <c r="H36" i="44"/>
  <c r="K36" i="44" s="1"/>
  <c r="F18" i="29"/>
  <c r="D24" i="38"/>
  <c r="F24" i="38" s="1"/>
  <c r="D24" i="29"/>
  <c r="F24" i="29" s="1"/>
  <c r="H34" i="43"/>
  <c r="K34" i="43" s="1"/>
  <c r="D18" i="38"/>
  <c r="F18" i="38" s="1"/>
  <c r="D22" i="29"/>
  <c r="H42" i="38"/>
  <c r="K42" i="38" s="1"/>
  <c r="H57" i="38"/>
  <c r="D22" i="38"/>
  <c r="F22" i="38" s="1"/>
  <c r="H22" i="38" s="1"/>
  <c r="H34" i="29"/>
  <c r="K34" i="29" s="1"/>
  <c r="H44" i="44"/>
  <c r="K44" i="44" s="1"/>
  <c r="H42" i="29"/>
  <c r="K42" i="29" s="1"/>
  <c r="H57" i="29"/>
  <c r="D18" i="43"/>
  <c r="D22" i="43"/>
  <c r="D20" i="43"/>
  <c r="D26" i="43"/>
  <c r="D26" i="44"/>
  <c r="H26" i="38"/>
  <c r="M9" i="44"/>
  <c r="H30" i="44"/>
  <c r="D20" i="38"/>
  <c r="K61" i="38"/>
  <c r="K63" i="44" a="1"/>
  <c r="H61" i="43"/>
  <c r="K61" i="29"/>
  <c r="H61" i="38"/>
  <c r="H61" i="29"/>
  <c r="K61" i="43" a="1"/>
  <c r="I5" i="83" l="1"/>
  <c r="I5" i="81"/>
  <c r="K6" i="80"/>
  <c r="L6" i="80" s="1"/>
  <c r="K10" i="80"/>
  <c r="L10" i="80" s="1"/>
  <c r="K7" i="80"/>
  <c r="L7" i="80" s="1"/>
  <c r="K8" i="80"/>
  <c r="L8" i="80" s="1"/>
  <c r="K9" i="80"/>
  <c r="L9" i="80" s="1"/>
  <c r="K11" i="80"/>
  <c r="L11" i="80" s="1"/>
  <c r="K12" i="80"/>
  <c r="L12" i="80" s="1"/>
  <c r="K13" i="80"/>
  <c r="L13" i="80" s="1"/>
  <c r="K5" i="80"/>
  <c r="L5" i="80" s="1"/>
  <c r="J6" i="53"/>
  <c r="J7" i="53"/>
  <c r="J8" i="53"/>
  <c r="J9" i="53"/>
  <c r="J5" i="53"/>
  <c r="F6" i="55"/>
  <c r="P26" i="54"/>
  <c r="P25" i="54"/>
  <c r="P24" i="54"/>
  <c r="P23" i="54"/>
  <c r="P22" i="54"/>
  <c r="P21" i="54"/>
  <c r="P20" i="54"/>
  <c r="P19" i="54"/>
  <c r="P18" i="54"/>
  <c r="P17" i="54"/>
  <c r="P16" i="54"/>
  <c r="P15" i="54"/>
  <c r="P14" i="54"/>
  <c r="P13" i="54"/>
  <c r="P12" i="54"/>
  <c r="P11" i="54"/>
  <c r="P10" i="54"/>
  <c r="P9" i="54"/>
  <c r="P8" i="54"/>
  <c r="P7" i="54"/>
  <c r="P6" i="54"/>
  <c r="P5" i="54"/>
  <c r="F5" i="55"/>
  <c r="O24" i="79"/>
  <c r="Q24" i="79" s="1"/>
  <c r="S24" i="79" s="1"/>
  <c r="O23" i="79"/>
  <c r="Q23" i="79" s="1"/>
  <c r="S23" i="79" s="1"/>
  <c r="O22" i="79"/>
  <c r="Q22" i="79" s="1"/>
  <c r="O49" i="77"/>
  <c r="Q49" i="77" s="1"/>
  <c r="S49" i="77" s="1"/>
  <c r="O48" i="77"/>
  <c r="Q48" i="77" s="1"/>
  <c r="S48" i="77" s="1"/>
  <c r="O47" i="77"/>
  <c r="Q47" i="77" s="1"/>
  <c r="S47" i="77" s="1"/>
  <c r="O46" i="77"/>
  <c r="Q46" i="77" s="1"/>
  <c r="S46" i="77" s="1"/>
  <c r="O45" i="77"/>
  <c r="Q45" i="77" s="1"/>
  <c r="S45" i="77" s="1"/>
  <c r="O44" i="77"/>
  <c r="Q44" i="77" s="1"/>
  <c r="S44" i="77" s="1"/>
  <c r="O43" i="77"/>
  <c r="Q43" i="77" s="1"/>
  <c r="S43" i="77" s="1"/>
  <c r="O42" i="77"/>
  <c r="Q42" i="77" s="1"/>
  <c r="S42" i="77" s="1"/>
  <c r="O41" i="77"/>
  <c r="Q41" i="77" s="1"/>
  <c r="S41" i="77" s="1"/>
  <c r="O40" i="77"/>
  <c r="Q40" i="77" s="1"/>
  <c r="S40" i="77" s="1"/>
  <c r="O39" i="77"/>
  <c r="Q39" i="77" s="1"/>
  <c r="S39" i="77" s="1"/>
  <c r="O38" i="77"/>
  <c r="Q38" i="77" s="1"/>
  <c r="S38" i="77" s="1"/>
  <c r="O37" i="77"/>
  <c r="Q37" i="77" s="1"/>
  <c r="S37" i="77" s="1"/>
  <c r="O36" i="77"/>
  <c r="Q36" i="77" s="1"/>
  <c r="S36" i="77" s="1"/>
  <c r="O35" i="77"/>
  <c r="Q35" i="77" s="1"/>
  <c r="S35" i="77" s="1"/>
  <c r="O34" i="77"/>
  <c r="Q34" i="77" s="1"/>
  <c r="S34" i="77" s="1"/>
  <c r="O33" i="77"/>
  <c r="Q33" i="77" s="1"/>
  <c r="S33" i="77" s="1"/>
  <c r="O32" i="77"/>
  <c r="Q32" i="77" s="1"/>
  <c r="S32" i="77" s="1"/>
  <c r="O31" i="77"/>
  <c r="Q31" i="77" s="1"/>
  <c r="S31" i="77" s="1"/>
  <c r="O30" i="77"/>
  <c r="Q30" i="77" s="1"/>
  <c r="S30" i="77" s="1"/>
  <c r="O29" i="77"/>
  <c r="Q29" i="77" s="1"/>
  <c r="S29" i="77" s="1"/>
  <c r="O28" i="77"/>
  <c r="Q28" i="77" s="1"/>
  <c r="S28" i="77" s="1"/>
  <c r="O27" i="77"/>
  <c r="Q27" i="77" s="1"/>
  <c r="S27" i="77" s="1"/>
  <c r="O26" i="77"/>
  <c r="Q26" i="77" s="1"/>
  <c r="S26" i="77" s="1"/>
  <c r="O25" i="77"/>
  <c r="Q25" i="77" s="1"/>
  <c r="S25" i="77" s="1"/>
  <c r="O24" i="77"/>
  <c r="Q24" i="77" s="1"/>
  <c r="S24" i="77" s="1"/>
  <c r="O23" i="77"/>
  <c r="Q23" i="77" s="1"/>
  <c r="S23" i="77" s="1"/>
  <c r="O22" i="77"/>
  <c r="Q22" i="77" s="1"/>
  <c r="O60" i="76"/>
  <c r="Q60" i="76" s="1"/>
  <c r="S60" i="76" s="1"/>
  <c r="O59" i="76"/>
  <c r="Q59" i="76" s="1"/>
  <c r="S59" i="76" s="1"/>
  <c r="O58" i="76"/>
  <c r="Q58" i="76" s="1"/>
  <c r="S58" i="76" s="1"/>
  <c r="O57" i="76"/>
  <c r="Q57" i="76" s="1"/>
  <c r="S57" i="76" s="1"/>
  <c r="O56" i="76"/>
  <c r="Q56" i="76" s="1"/>
  <c r="S56" i="76" s="1"/>
  <c r="O55" i="76"/>
  <c r="Q55" i="76" s="1"/>
  <c r="S55" i="76" s="1"/>
  <c r="O54" i="76"/>
  <c r="Q54" i="76" s="1"/>
  <c r="S54" i="76" s="1"/>
  <c r="O53" i="76"/>
  <c r="Q53" i="76" s="1"/>
  <c r="S53" i="76" s="1"/>
  <c r="O52" i="76"/>
  <c r="Q52" i="76" s="1"/>
  <c r="S52" i="76" s="1"/>
  <c r="O51" i="76"/>
  <c r="Q51" i="76" s="1"/>
  <c r="S51" i="76" s="1"/>
  <c r="O50" i="76"/>
  <c r="Q50" i="76" s="1"/>
  <c r="S50" i="76" s="1"/>
  <c r="O49" i="76"/>
  <c r="Q49" i="76" s="1"/>
  <c r="S49" i="76" s="1"/>
  <c r="O48" i="76"/>
  <c r="Q48" i="76" s="1"/>
  <c r="S48" i="76" s="1"/>
  <c r="O47" i="76"/>
  <c r="Q47" i="76" s="1"/>
  <c r="S47" i="76" s="1"/>
  <c r="O46" i="76"/>
  <c r="Q46" i="76" s="1"/>
  <c r="S46" i="76" s="1"/>
  <c r="O45" i="76"/>
  <c r="Q45" i="76" s="1"/>
  <c r="S45" i="76" s="1"/>
  <c r="O44" i="76"/>
  <c r="Q44" i="76" s="1"/>
  <c r="S44" i="76" s="1"/>
  <c r="O43" i="76"/>
  <c r="Q43" i="76" s="1"/>
  <c r="S43" i="76" s="1"/>
  <c r="O42" i="76"/>
  <c r="Q42" i="76" s="1"/>
  <c r="S42" i="76" s="1"/>
  <c r="O41" i="76"/>
  <c r="Q41" i="76" s="1"/>
  <c r="S41" i="76" s="1"/>
  <c r="O40" i="76"/>
  <c r="Q40" i="76" s="1"/>
  <c r="S40" i="76" s="1"/>
  <c r="O39" i="76"/>
  <c r="Q39" i="76" s="1"/>
  <c r="S39" i="76" s="1"/>
  <c r="O38" i="76"/>
  <c r="Q38" i="76" s="1"/>
  <c r="S38" i="76" s="1"/>
  <c r="O37" i="76"/>
  <c r="Q37" i="76" s="1"/>
  <c r="S37" i="76" s="1"/>
  <c r="O36" i="76"/>
  <c r="Q36" i="76" s="1"/>
  <c r="S36" i="76" s="1"/>
  <c r="O35" i="76"/>
  <c r="Q35" i="76" s="1"/>
  <c r="S35" i="76" s="1"/>
  <c r="O34" i="76"/>
  <c r="Q34" i="76" s="1"/>
  <c r="S34" i="76" s="1"/>
  <c r="O33" i="76"/>
  <c r="Q33" i="76" s="1"/>
  <c r="S33" i="76" s="1"/>
  <c r="O32" i="76"/>
  <c r="Q32" i="76" s="1"/>
  <c r="S32" i="76" s="1"/>
  <c r="O31" i="76"/>
  <c r="Q31" i="76" s="1"/>
  <c r="S31" i="76" s="1"/>
  <c r="O30" i="76"/>
  <c r="Q30" i="76" s="1"/>
  <c r="S30" i="76" s="1"/>
  <c r="O29" i="76"/>
  <c r="Q29" i="76" s="1"/>
  <c r="S29" i="76" s="1"/>
  <c r="O28" i="76"/>
  <c r="Q28" i="76" s="1"/>
  <c r="S28" i="76" s="1"/>
  <c r="O27" i="76"/>
  <c r="Q27" i="76" s="1"/>
  <c r="S27" i="76" s="1"/>
  <c r="O26" i="76"/>
  <c r="Q26" i="76" s="1"/>
  <c r="S26" i="76" s="1"/>
  <c r="O25" i="76"/>
  <c r="Q25" i="76" s="1"/>
  <c r="S25" i="76" s="1"/>
  <c r="O24" i="76"/>
  <c r="Q24" i="76" s="1"/>
  <c r="S24" i="76" s="1"/>
  <c r="O23" i="76"/>
  <c r="Q23" i="76" s="1"/>
  <c r="S23" i="76" s="1"/>
  <c r="O22" i="76"/>
  <c r="Q22" i="76" s="1"/>
  <c r="O46" i="75"/>
  <c r="O45" i="75"/>
  <c r="O44" i="75"/>
  <c r="O43" i="75"/>
  <c r="O42" i="75"/>
  <c r="O41" i="75"/>
  <c r="O40" i="75"/>
  <c r="O39" i="75"/>
  <c r="O38" i="75"/>
  <c r="O37" i="75"/>
  <c r="O36" i="75"/>
  <c r="O35" i="75"/>
  <c r="O34" i="75"/>
  <c r="O33" i="75"/>
  <c r="O32" i="75"/>
  <c r="O31" i="75"/>
  <c r="O30" i="75"/>
  <c r="O29" i="75"/>
  <c r="O28" i="75"/>
  <c r="O27" i="75"/>
  <c r="O26" i="75"/>
  <c r="O25" i="75"/>
  <c r="O24" i="75"/>
  <c r="O23" i="75"/>
  <c r="O22" i="75"/>
  <c r="O33" i="74"/>
  <c r="O32" i="74"/>
  <c r="O31" i="74"/>
  <c r="O30" i="74"/>
  <c r="O29" i="74"/>
  <c r="O28" i="74"/>
  <c r="O27" i="74"/>
  <c r="O26" i="74"/>
  <c r="O25" i="74"/>
  <c r="O24" i="74"/>
  <c r="O23" i="74"/>
  <c r="O22" i="74"/>
  <c r="O105" i="73"/>
  <c r="O104" i="73"/>
  <c r="O103" i="73"/>
  <c r="O102" i="73"/>
  <c r="O101" i="73"/>
  <c r="O100" i="73"/>
  <c r="O99" i="73"/>
  <c r="O98" i="73"/>
  <c r="O97" i="73"/>
  <c r="O96" i="73"/>
  <c r="O95" i="73"/>
  <c r="O94" i="73"/>
  <c r="O93" i="73"/>
  <c r="O92" i="73"/>
  <c r="O91" i="73"/>
  <c r="O90" i="73"/>
  <c r="O89" i="73"/>
  <c r="O88" i="73"/>
  <c r="O87" i="73"/>
  <c r="O86" i="73"/>
  <c r="O85" i="73"/>
  <c r="O84" i="73"/>
  <c r="O83" i="73"/>
  <c r="O82" i="73"/>
  <c r="O81" i="73"/>
  <c r="O80" i="73"/>
  <c r="O79" i="73"/>
  <c r="O78" i="73"/>
  <c r="O77" i="73"/>
  <c r="O76" i="73"/>
  <c r="O75" i="73"/>
  <c r="O74" i="73"/>
  <c r="O73" i="73"/>
  <c r="O72" i="73"/>
  <c r="O71" i="73"/>
  <c r="O70" i="73"/>
  <c r="O69" i="73"/>
  <c r="O68" i="73"/>
  <c r="O67" i="73"/>
  <c r="O66" i="73"/>
  <c r="O65" i="73"/>
  <c r="O64" i="73"/>
  <c r="O63" i="73"/>
  <c r="O62" i="73"/>
  <c r="O61" i="73"/>
  <c r="O60" i="73"/>
  <c r="O59" i="73"/>
  <c r="O58" i="73"/>
  <c r="O57" i="73"/>
  <c r="O56" i="73"/>
  <c r="O55" i="73"/>
  <c r="O54" i="73"/>
  <c r="O53" i="73"/>
  <c r="O52" i="73"/>
  <c r="O51" i="73"/>
  <c r="O50" i="73"/>
  <c r="O49" i="73"/>
  <c r="O48" i="73"/>
  <c r="O47" i="73"/>
  <c r="O46" i="73"/>
  <c r="O45" i="73"/>
  <c r="O44" i="73"/>
  <c r="O43" i="73"/>
  <c r="O42" i="73"/>
  <c r="O41" i="73"/>
  <c r="O40" i="73"/>
  <c r="O39" i="73"/>
  <c r="O38" i="73"/>
  <c r="O37" i="73"/>
  <c r="O36" i="73"/>
  <c r="O35" i="73"/>
  <c r="O34" i="73"/>
  <c r="O33" i="73"/>
  <c r="O32" i="73"/>
  <c r="O31" i="73"/>
  <c r="O30" i="73"/>
  <c r="O29" i="73"/>
  <c r="O28" i="73"/>
  <c r="O27" i="73"/>
  <c r="O26" i="73"/>
  <c r="O25" i="73"/>
  <c r="O24" i="73"/>
  <c r="O23" i="73"/>
  <c r="O22" i="73"/>
  <c r="O56" i="72"/>
  <c r="O55" i="72"/>
  <c r="O54" i="72"/>
  <c r="O53" i="72"/>
  <c r="O52" i="72"/>
  <c r="O51" i="72"/>
  <c r="O50" i="72"/>
  <c r="O49" i="72"/>
  <c r="O48" i="72"/>
  <c r="O47" i="72"/>
  <c r="O46" i="72"/>
  <c r="O45" i="72"/>
  <c r="O44" i="72"/>
  <c r="O43" i="72"/>
  <c r="O42" i="72"/>
  <c r="O41" i="72"/>
  <c r="O40" i="72"/>
  <c r="O39" i="72"/>
  <c r="O38" i="72"/>
  <c r="O37" i="72"/>
  <c r="O36" i="72"/>
  <c r="O35" i="72"/>
  <c r="O34" i="72"/>
  <c r="O33" i="72"/>
  <c r="O32" i="72"/>
  <c r="O31" i="72"/>
  <c r="O30" i="72"/>
  <c r="O29" i="72"/>
  <c r="O28" i="72"/>
  <c r="O27" i="72"/>
  <c r="O26" i="72"/>
  <c r="O25" i="72"/>
  <c r="O24" i="72"/>
  <c r="O23" i="72"/>
  <c r="O22" i="72"/>
  <c r="O57" i="71"/>
  <c r="Q57" i="71" s="1"/>
  <c r="S57" i="71" s="1"/>
  <c r="O56" i="71"/>
  <c r="Q56" i="71" s="1"/>
  <c r="S56" i="71" s="1"/>
  <c r="O55" i="71"/>
  <c r="Q55" i="71" s="1"/>
  <c r="S55" i="71" s="1"/>
  <c r="O54" i="71"/>
  <c r="Q54" i="71" s="1"/>
  <c r="S54" i="71" s="1"/>
  <c r="O53" i="71"/>
  <c r="Q53" i="71" s="1"/>
  <c r="S53" i="71" s="1"/>
  <c r="O52" i="71"/>
  <c r="Q52" i="71" s="1"/>
  <c r="S52" i="71" s="1"/>
  <c r="O51" i="71"/>
  <c r="Q51" i="71" s="1"/>
  <c r="S51" i="71" s="1"/>
  <c r="O50" i="71"/>
  <c r="Q50" i="71" s="1"/>
  <c r="S50" i="71" s="1"/>
  <c r="O49" i="71"/>
  <c r="Q49" i="71" s="1"/>
  <c r="S49" i="71" s="1"/>
  <c r="O48" i="71"/>
  <c r="Q48" i="71" s="1"/>
  <c r="S48" i="71" s="1"/>
  <c r="O47" i="71"/>
  <c r="Q47" i="71" s="1"/>
  <c r="S47" i="71" s="1"/>
  <c r="O46" i="71"/>
  <c r="Q46" i="71" s="1"/>
  <c r="S46" i="71" s="1"/>
  <c r="O45" i="71"/>
  <c r="Q45" i="71" s="1"/>
  <c r="S45" i="71" s="1"/>
  <c r="O44" i="71"/>
  <c r="Q44" i="71" s="1"/>
  <c r="S44" i="71" s="1"/>
  <c r="O43" i="71"/>
  <c r="Q43" i="71" s="1"/>
  <c r="S43" i="71" s="1"/>
  <c r="O42" i="71"/>
  <c r="Q42" i="71" s="1"/>
  <c r="S42" i="71" s="1"/>
  <c r="O41" i="71"/>
  <c r="Q41" i="71" s="1"/>
  <c r="S41" i="71" s="1"/>
  <c r="O40" i="71"/>
  <c r="Q40" i="71" s="1"/>
  <c r="S40" i="71" s="1"/>
  <c r="O39" i="71"/>
  <c r="Q39" i="71" s="1"/>
  <c r="S39" i="71" s="1"/>
  <c r="O38" i="71"/>
  <c r="Q38" i="71" s="1"/>
  <c r="S38" i="71" s="1"/>
  <c r="O37" i="71"/>
  <c r="Q37" i="71" s="1"/>
  <c r="S37" i="71" s="1"/>
  <c r="O36" i="71"/>
  <c r="Q36" i="71" s="1"/>
  <c r="S36" i="71" s="1"/>
  <c r="O35" i="71"/>
  <c r="Q35" i="71" s="1"/>
  <c r="S35" i="71" s="1"/>
  <c r="O34" i="71"/>
  <c r="Q34" i="71" s="1"/>
  <c r="S34" i="71" s="1"/>
  <c r="O33" i="71"/>
  <c r="Q33" i="71" s="1"/>
  <c r="S33" i="71" s="1"/>
  <c r="O32" i="71"/>
  <c r="Q32" i="71" s="1"/>
  <c r="S32" i="71" s="1"/>
  <c r="O31" i="71"/>
  <c r="Q31" i="71" s="1"/>
  <c r="S31" i="71" s="1"/>
  <c r="O30" i="71"/>
  <c r="Q30" i="71" s="1"/>
  <c r="S30" i="71" s="1"/>
  <c r="O29" i="71"/>
  <c r="Q29" i="71" s="1"/>
  <c r="S29" i="71" s="1"/>
  <c r="O28" i="71"/>
  <c r="Q28" i="71" s="1"/>
  <c r="S28" i="71" s="1"/>
  <c r="O27" i="71"/>
  <c r="Q27" i="71" s="1"/>
  <c r="S27" i="71" s="1"/>
  <c r="O26" i="71"/>
  <c r="Q26" i="71" s="1"/>
  <c r="S26" i="71" s="1"/>
  <c r="O25" i="71"/>
  <c r="Q25" i="71" s="1"/>
  <c r="S25" i="71" s="1"/>
  <c r="O24" i="71"/>
  <c r="Q24" i="71" s="1"/>
  <c r="S24" i="71" s="1"/>
  <c r="O23" i="71"/>
  <c r="Q23" i="71" s="1"/>
  <c r="S23" i="71" s="1"/>
  <c r="O22" i="71"/>
  <c r="Q22" i="71" s="1"/>
  <c r="O47" i="70"/>
  <c r="Q47" i="70" s="1"/>
  <c r="S47" i="70" s="1"/>
  <c r="O46" i="70"/>
  <c r="Q46" i="70" s="1"/>
  <c r="S46" i="70" s="1"/>
  <c r="O45" i="70"/>
  <c r="Q45" i="70" s="1"/>
  <c r="S45" i="70" s="1"/>
  <c r="O44" i="70"/>
  <c r="Q44" i="70" s="1"/>
  <c r="S44" i="70" s="1"/>
  <c r="O43" i="70"/>
  <c r="Q43" i="70" s="1"/>
  <c r="S43" i="70" s="1"/>
  <c r="O42" i="70"/>
  <c r="Q42" i="70" s="1"/>
  <c r="S42" i="70" s="1"/>
  <c r="O41" i="70"/>
  <c r="Q41" i="70" s="1"/>
  <c r="S41" i="70" s="1"/>
  <c r="O40" i="70"/>
  <c r="Q40" i="70" s="1"/>
  <c r="S40" i="70" s="1"/>
  <c r="O39" i="70"/>
  <c r="Q39" i="70" s="1"/>
  <c r="S39" i="70" s="1"/>
  <c r="O38" i="70"/>
  <c r="Q38" i="70" s="1"/>
  <c r="S38" i="70" s="1"/>
  <c r="O37" i="70"/>
  <c r="Q37" i="70" s="1"/>
  <c r="S37" i="70" s="1"/>
  <c r="O36" i="70"/>
  <c r="Q36" i="70" s="1"/>
  <c r="S36" i="70" s="1"/>
  <c r="O35" i="70"/>
  <c r="Q35" i="70" s="1"/>
  <c r="S35" i="70" s="1"/>
  <c r="O34" i="70"/>
  <c r="Q34" i="70" s="1"/>
  <c r="S34" i="70" s="1"/>
  <c r="O33" i="70"/>
  <c r="Q33" i="70" s="1"/>
  <c r="S33" i="70" s="1"/>
  <c r="O32" i="70"/>
  <c r="Q32" i="70" s="1"/>
  <c r="S32" i="70" s="1"/>
  <c r="O31" i="70"/>
  <c r="Q31" i="70" s="1"/>
  <c r="S31" i="70" s="1"/>
  <c r="O30" i="70"/>
  <c r="Q30" i="70" s="1"/>
  <c r="S30" i="70" s="1"/>
  <c r="O29" i="70"/>
  <c r="Q29" i="70" s="1"/>
  <c r="S29" i="70" s="1"/>
  <c r="O28" i="70"/>
  <c r="Q28" i="70" s="1"/>
  <c r="S28" i="70" s="1"/>
  <c r="O27" i="70"/>
  <c r="Q27" i="70" s="1"/>
  <c r="S27" i="70" s="1"/>
  <c r="O26" i="70"/>
  <c r="Q26" i="70" s="1"/>
  <c r="S26" i="70" s="1"/>
  <c r="O25" i="70"/>
  <c r="Q25" i="70" s="1"/>
  <c r="S25" i="70" s="1"/>
  <c r="O24" i="70"/>
  <c r="Q24" i="70" s="1"/>
  <c r="S24" i="70" s="1"/>
  <c r="O23" i="70"/>
  <c r="Q23" i="70" s="1"/>
  <c r="S23" i="70" s="1"/>
  <c r="O22" i="70"/>
  <c r="Q22" i="70" s="1"/>
  <c r="O27" i="69"/>
  <c r="Q27" i="69" s="1"/>
  <c r="S27" i="69" s="1"/>
  <c r="O26" i="69"/>
  <c r="Q26" i="69" s="1"/>
  <c r="S26" i="69" s="1"/>
  <c r="O25" i="69"/>
  <c r="Q25" i="69" s="1"/>
  <c r="S25" i="69" s="1"/>
  <c r="O24" i="69"/>
  <c r="Q24" i="69" s="1"/>
  <c r="S24" i="69" s="1"/>
  <c r="O23" i="69"/>
  <c r="Q23" i="69" s="1"/>
  <c r="S23" i="69" s="1"/>
  <c r="O22" i="69"/>
  <c r="Q22" i="69" s="1"/>
  <c r="O38" i="68"/>
  <c r="Q38" i="68" s="1"/>
  <c r="S38" i="68" s="1"/>
  <c r="O37" i="68"/>
  <c r="Q37" i="68" s="1"/>
  <c r="S37" i="68" s="1"/>
  <c r="O36" i="68"/>
  <c r="Q36" i="68" s="1"/>
  <c r="S36" i="68" s="1"/>
  <c r="O35" i="68"/>
  <c r="Q35" i="68" s="1"/>
  <c r="S35" i="68" s="1"/>
  <c r="O34" i="68"/>
  <c r="Q34" i="68" s="1"/>
  <c r="S34" i="68" s="1"/>
  <c r="O33" i="68"/>
  <c r="Q33" i="68" s="1"/>
  <c r="S33" i="68" s="1"/>
  <c r="O32" i="68"/>
  <c r="Q32" i="68" s="1"/>
  <c r="S32" i="68" s="1"/>
  <c r="O31" i="68"/>
  <c r="Q31" i="68" s="1"/>
  <c r="S31" i="68" s="1"/>
  <c r="O30" i="68"/>
  <c r="Q30" i="68" s="1"/>
  <c r="S30" i="68" s="1"/>
  <c r="O29" i="68"/>
  <c r="Q29" i="68" s="1"/>
  <c r="S29" i="68" s="1"/>
  <c r="O28" i="68"/>
  <c r="Q28" i="68" s="1"/>
  <c r="S28" i="68" s="1"/>
  <c r="O27" i="68"/>
  <c r="Q27" i="68" s="1"/>
  <c r="S27" i="68" s="1"/>
  <c r="O26" i="68"/>
  <c r="Q26" i="68" s="1"/>
  <c r="S26" i="68" s="1"/>
  <c r="O25" i="68"/>
  <c r="Q25" i="68" s="1"/>
  <c r="S25" i="68" s="1"/>
  <c r="O24" i="68"/>
  <c r="Q24" i="68" s="1"/>
  <c r="S24" i="68" s="1"/>
  <c r="O23" i="68"/>
  <c r="Q23" i="68" s="1"/>
  <c r="S23" i="68" s="1"/>
  <c r="O22" i="68"/>
  <c r="Q22" i="68" s="1"/>
  <c r="O22" i="67"/>
  <c r="Q22" i="67" s="1"/>
  <c r="O48" i="66"/>
  <c r="Q48" i="66" s="1"/>
  <c r="S48" i="66" s="1"/>
  <c r="O47" i="66"/>
  <c r="Q47" i="66" s="1"/>
  <c r="S47" i="66" s="1"/>
  <c r="O46" i="66"/>
  <c r="Q46" i="66" s="1"/>
  <c r="S46" i="66" s="1"/>
  <c r="O45" i="66"/>
  <c r="Q45" i="66" s="1"/>
  <c r="S45" i="66" s="1"/>
  <c r="O44" i="66"/>
  <c r="Q44" i="66" s="1"/>
  <c r="S44" i="66" s="1"/>
  <c r="O43" i="66"/>
  <c r="Q43" i="66" s="1"/>
  <c r="S43" i="66" s="1"/>
  <c r="O42" i="66"/>
  <c r="Q42" i="66" s="1"/>
  <c r="S42" i="66" s="1"/>
  <c r="O41" i="66"/>
  <c r="Q41" i="66" s="1"/>
  <c r="S41" i="66" s="1"/>
  <c r="O40" i="66"/>
  <c r="Q40" i="66" s="1"/>
  <c r="S40" i="66" s="1"/>
  <c r="O39" i="66"/>
  <c r="Q39" i="66" s="1"/>
  <c r="S39" i="66" s="1"/>
  <c r="O38" i="66"/>
  <c r="Q38" i="66" s="1"/>
  <c r="S38" i="66" s="1"/>
  <c r="O37" i="66"/>
  <c r="Q37" i="66" s="1"/>
  <c r="S37" i="66" s="1"/>
  <c r="O36" i="66"/>
  <c r="Q36" i="66" s="1"/>
  <c r="S36" i="66" s="1"/>
  <c r="O35" i="66"/>
  <c r="Q35" i="66" s="1"/>
  <c r="S35" i="66" s="1"/>
  <c r="O34" i="66"/>
  <c r="Q34" i="66" s="1"/>
  <c r="S34" i="66" s="1"/>
  <c r="O33" i="66"/>
  <c r="Q33" i="66" s="1"/>
  <c r="S33" i="66" s="1"/>
  <c r="O32" i="66"/>
  <c r="Q32" i="66" s="1"/>
  <c r="S32" i="66" s="1"/>
  <c r="O31" i="66"/>
  <c r="Q31" i="66" s="1"/>
  <c r="S31" i="66" s="1"/>
  <c r="O30" i="66"/>
  <c r="Q30" i="66" s="1"/>
  <c r="S30" i="66" s="1"/>
  <c r="O29" i="66"/>
  <c r="Q29" i="66" s="1"/>
  <c r="S29" i="66" s="1"/>
  <c r="O28" i="66"/>
  <c r="Q28" i="66" s="1"/>
  <c r="S28" i="66" s="1"/>
  <c r="O27" i="66"/>
  <c r="Q27" i="66" s="1"/>
  <c r="S27" i="66" s="1"/>
  <c r="O26" i="66"/>
  <c r="Q26" i="66" s="1"/>
  <c r="S26" i="66" s="1"/>
  <c r="O25" i="66"/>
  <c r="Q25" i="66" s="1"/>
  <c r="S25" i="66" s="1"/>
  <c r="O24" i="66"/>
  <c r="Q24" i="66" s="1"/>
  <c r="S24" i="66" s="1"/>
  <c r="O23" i="66"/>
  <c r="Q23" i="66" s="1"/>
  <c r="S23" i="66" s="1"/>
  <c r="O22" i="66"/>
  <c r="Q22" i="66" s="1"/>
  <c r="O66" i="65"/>
  <c r="Q66" i="65" s="1"/>
  <c r="S66" i="65" s="1"/>
  <c r="O65" i="65"/>
  <c r="Q65" i="65" s="1"/>
  <c r="S65" i="65" s="1"/>
  <c r="O64" i="65"/>
  <c r="Q64" i="65" s="1"/>
  <c r="S64" i="65" s="1"/>
  <c r="O63" i="65"/>
  <c r="Q63" i="65" s="1"/>
  <c r="S63" i="65" s="1"/>
  <c r="O62" i="65"/>
  <c r="Q62" i="65" s="1"/>
  <c r="S62" i="65" s="1"/>
  <c r="O61" i="65"/>
  <c r="Q61" i="65" s="1"/>
  <c r="S61" i="65" s="1"/>
  <c r="O60" i="65"/>
  <c r="Q60" i="65" s="1"/>
  <c r="S60" i="65" s="1"/>
  <c r="O59" i="65"/>
  <c r="Q59" i="65" s="1"/>
  <c r="S59" i="65" s="1"/>
  <c r="O58" i="65"/>
  <c r="Q58" i="65" s="1"/>
  <c r="S58" i="65" s="1"/>
  <c r="O57" i="65"/>
  <c r="Q57" i="65" s="1"/>
  <c r="S57" i="65" s="1"/>
  <c r="O56" i="65"/>
  <c r="Q56" i="65" s="1"/>
  <c r="S56" i="65" s="1"/>
  <c r="O55" i="65"/>
  <c r="Q55" i="65" s="1"/>
  <c r="S55" i="65" s="1"/>
  <c r="O54" i="65"/>
  <c r="Q54" i="65" s="1"/>
  <c r="S54" i="65" s="1"/>
  <c r="O53" i="65"/>
  <c r="Q53" i="65" s="1"/>
  <c r="S53" i="65" s="1"/>
  <c r="O52" i="65"/>
  <c r="Q52" i="65" s="1"/>
  <c r="S52" i="65" s="1"/>
  <c r="O51" i="65"/>
  <c r="Q51" i="65" s="1"/>
  <c r="S51" i="65" s="1"/>
  <c r="O50" i="65"/>
  <c r="Q50" i="65" s="1"/>
  <c r="S50" i="65" s="1"/>
  <c r="O49" i="65"/>
  <c r="Q49" i="65" s="1"/>
  <c r="S49" i="65" s="1"/>
  <c r="O48" i="65"/>
  <c r="Q48" i="65" s="1"/>
  <c r="S48" i="65" s="1"/>
  <c r="O47" i="65"/>
  <c r="Q47" i="65" s="1"/>
  <c r="S47" i="65" s="1"/>
  <c r="O46" i="65"/>
  <c r="Q46" i="65" s="1"/>
  <c r="S46" i="65" s="1"/>
  <c r="O45" i="65"/>
  <c r="Q45" i="65" s="1"/>
  <c r="S45" i="65" s="1"/>
  <c r="O44" i="65"/>
  <c r="Q44" i="65" s="1"/>
  <c r="S44" i="65" s="1"/>
  <c r="O43" i="65"/>
  <c r="Q43" i="65" s="1"/>
  <c r="S43" i="65" s="1"/>
  <c r="O42" i="65"/>
  <c r="Q42" i="65" s="1"/>
  <c r="S42" i="65" s="1"/>
  <c r="O41" i="65"/>
  <c r="Q41" i="65" s="1"/>
  <c r="S41" i="65" s="1"/>
  <c r="O40" i="65"/>
  <c r="Q40" i="65" s="1"/>
  <c r="S40" i="65" s="1"/>
  <c r="O39" i="65"/>
  <c r="Q39" i="65" s="1"/>
  <c r="S39" i="65" s="1"/>
  <c r="O38" i="65"/>
  <c r="Q38" i="65" s="1"/>
  <c r="S38" i="65" s="1"/>
  <c r="O37" i="65"/>
  <c r="Q37" i="65" s="1"/>
  <c r="S37" i="65" s="1"/>
  <c r="O36" i="65"/>
  <c r="Q36" i="65" s="1"/>
  <c r="S36" i="65" s="1"/>
  <c r="O35" i="65"/>
  <c r="Q35" i="65" s="1"/>
  <c r="S35" i="65" s="1"/>
  <c r="O34" i="65"/>
  <c r="Q34" i="65" s="1"/>
  <c r="S34" i="65" s="1"/>
  <c r="O33" i="65"/>
  <c r="Q33" i="65" s="1"/>
  <c r="S33" i="65" s="1"/>
  <c r="O32" i="65"/>
  <c r="Q32" i="65" s="1"/>
  <c r="S32" i="65" s="1"/>
  <c r="O31" i="65"/>
  <c r="Q31" i="65" s="1"/>
  <c r="S31" i="65" s="1"/>
  <c r="O30" i="65"/>
  <c r="Q30" i="65" s="1"/>
  <c r="S30" i="65" s="1"/>
  <c r="O29" i="65"/>
  <c r="Q29" i="65" s="1"/>
  <c r="S29" i="65" s="1"/>
  <c r="O28" i="65"/>
  <c r="Q28" i="65" s="1"/>
  <c r="S28" i="65" s="1"/>
  <c r="O27" i="65"/>
  <c r="O26" i="65"/>
  <c r="Q26" i="65" s="1"/>
  <c r="S26" i="65" s="1"/>
  <c r="O25" i="65"/>
  <c r="Q25" i="65" s="1"/>
  <c r="S25" i="65" s="1"/>
  <c r="O24" i="65"/>
  <c r="Q24" i="65" s="1"/>
  <c r="S24" i="65" s="1"/>
  <c r="O23" i="65"/>
  <c r="Q23" i="65" s="1"/>
  <c r="S23" i="65" s="1"/>
  <c r="O22" i="65"/>
  <c r="Q22" i="65" s="1"/>
  <c r="O61" i="63"/>
  <c r="O60" i="63"/>
  <c r="O59" i="63"/>
  <c r="Q59" i="63" s="1"/>
  <c r="S59" i="63" s="1"/>
  <c r="O58" i="63"/>
  <c r="Q58" i="63" s="1"/>
  <c r="S58" i="63" s="1"/>
  <c r="O57" i="63"/>
  <c r="O56" i="63"/>
  <c r="O55" i="63"/>
  <c r="O54" i="63"/>
  <c r="Q54" i="63" s="1"/>
  <c r="S54" i="63" s="1"/>
  <c r="O53" i="63"/>
  <c r="O52" i="63"/>
  <c r="O51" i="63"/>
  <c r="Q51" i="63" s="1"/>
  <c r="S51" i="63" s="1"/>
  <c r="O50" i="63"/>
  <c r="Q50" i="63" s="1"/>
  <c r="S50" i="63" s="1"/>
  <c r="O49" i="63"/>
  <c r="Q49" i="63" s="1"/>
  <c r="S49" i="63" s="1"/>
  <c r="O48" i="63"/>
  <c r="Q48" i="63" s="1"/>
  <c r="S48" i="63" s="1"/>
  <c r="O47" i="63"/>
  <c r="Q47" i="63" s="1"/>
  <c r="S47" i="63" s="1"/>
  <c r="O46" i="63"/>
  <c r="Q46" i="63" s="1"/>
  <c r="S46" i="63" s="1"/>
  <c r="O45" i="63"/>
  <c r="Q45" i="63" s="1"/>
  <c r="S45" i="63" s="1"/>
  <c r="O44" i="63"/>
  <c r="Q44" i="63" s="1"/>
  <c r="S44" i="63" s="1"/>
  <c r="O43" i="63"/>
  <c r="Q43" i="63" s="1"/>
  <c r="S43" i="63" s="1"/>
  <c r="O42" i="63"/>
  <c r="Q42" i="63" s="1"/>
  <c r="S42" i="63" s="1"/>
  <c r="O41" i="63"/>
  <c r="Q41" i="63" s="1"/>
  <c r="S41" i="63" s="1"/>
  <c r="O40" i="63"/>
  <c r="Q40" i="63" s="1"/>
  <c r="S40" i="63" s="1"/>
  <c r="O39" i="63"/>
  <c r="O38" i="63"/>
  <c r="O37" i="63"/>
  <c r="O36" i="63"/>
  <c r="O35" i="63"/>
  <c r="O34" i="63"/>
  <c r="O33" i="63"/>
  <c r="Q33" i="63" s="1"/>
  <c r="S33" i="63" s="1"/>
  <c r="O32" i="63"/>
  <c r="O31" i="63"/>
  <c r="Q31" i="63" s="1"/>
  <c r="S31" i="63" s="1"/>
  <c r="O30" i="63"/>
  <c r="O29" i="63"/>
  <c r="Q29" i="63" s="1"/>
  <c r="S29" i="63" s="1"/>
  <c r="O28" i="63"/>
  <c r="Q28" i="63" s="1"/>
  <c r="S28" i="63" s="1"/>
  <c r="O27" i="63"/>
  <c r="Q27" i="63" s="1"/>
  <c r="S27" i="63" s="1"/>
  <c r="O26" i="63"/>
  <c r="Q26" i="63" s="1"/>
  <c r="S26" i="63" s="1"/>
  <c r="O25" i="63"/>
  <c r="Q25" i="63" s="1"/>
  <c r="S25" i="63" s="1"/>
  <c r="O24" i="63"/>
  <c r="Q24" i="63" s="1"/>
  <c r="S24" i="63" s="1"/>
  <c r="O23" i="63"/>
  <c r="Q23" i="63" s="1"/>
  <c r="S23" i="63" s="1"/>
  <c r="O22" i="63"/>
  <c r="Q22" i="63" s="1"/>
  <c r="O34" i="62"/>
  <c r="Q34" i="62" s="1"/>
  <c r="S34" i="62" s="1"/>
  <c r="O33" i="62"/>
  <c r="Q33" i="62" s="1"/>
  <c r="S33" i="62" s="1"/>
  <c r="O32" i="62"/>
  <c r="Q32" i="62" s="1"/>
  <c r="S32" i="62" s="1"/>
  <c r="O31" i="62"/>
  <c r="Q31" i="62" s="1"/>
  <c r="S31" i="62" s="1"/>
  <c r="O30" i="62"/>
  <c r="Q30" i="62" s="1"/>
  <c r="S30" i="62" s="1"/>
  <c r="O29" i="62"/>
  <c r="Q29" i="62" s="1"/>
  <c r="S29" i="62" s="1"/>
  <c r="O28" i="62"/>
  <c r="Q28" i="62" s="1"/>
  <c r="S28" i="62" s="1"/>
  <c r="O27" i="62"/>
  <c r="Q27" i="62" s="1"/>
  <c r="S27" i="62" s="1"/>
  <c r="O26" i="62"/>
  <c r="Q26" i="62" s="1"/>
  <c r="S26" i="62" s="1"/>
  <c r="O25" i="62"/>
  <c r="Q25" i="62" s="1"/>
  <c r="S25" i="62" s="1"/>
  <c r="O24" i="62"/>
  <c r="Q24" i="62" s="1"/>
  <c r="S24" i="62" s="1"/>
  <c r="O23" i="62"/>
  <c r="Q23" i="62" s="1"/>
  <c r="S23" i="62" s="1"/>
  <c r="O22" i="62"/>
  <c r="Q22" i="62" s="1"/>
  <c r="O106" i="61"/>
  <c r="Q106" i="61" s="1"/>
  <c r="S106" i="61" s="1"/>
  <c r="O105" i="61"/>
  <c r="Q105" i="61" s="1"/>
  <c r="S105" i="61" s="1"/>
  <c r="O104" i="61"/>
  <c r="Q104" i="61" s="1"/>
  <c r="S104" i="61" s="1"/>
  <c r="O103" i="61"/>
  <c r="Q103" i="61" s="1"/>
  <c r="S103" i="61" s="1"/>
  <c r="O102" i="61"/>
  <c r="Q102" i="61" s="1"/>
  <c r="S102" i="61" s="1"/>
  <c r="O101" i="61"/>
  <c r="Q101" i="61" s="1"/>
  <c r="S101" i="61" s="1"/>
  <c r="O100" i="61"/>
  <c r="Q100" i="61" s="1"/>
  <c r="S100" i="61" s="1"/>
  <c r="O99" i="61"/>
  <c r="Q99" i="61" s="1"/>
  <c r="S99" i="61" s="1"/>
  <c r="O98" i="61"/>
  <c r="Q98" i="61" s="1"/>
  <c r="S98" i="61" s="1"/>
  <c r="O97" i="61"/>
  <c r="Q97" i="61" s="1"/>
  <c r="S97" i="61" s="1"/>
  <c r="O96" i="61"/>
  <c r="Q96" i="61" s="1"/>
  <c r="S96" i="61" s="1"/>
  <c r="O95" i="61"/>
  <c r="O94" i="61"/>
  <c r="Q94" i="61" s="1"/>
  <c r="S94" i="61" s="1"/>
  <c r="O93" i="61"/>
  <c r="Q93" i="61" s="1"/>
  <c r="S93" i="61" s="1"/>
  <c r="O92" i="61"/>
  <c r="Q92" i="61" s="1"/>
  <c r="S92" i="61" s="1"/>
  <c r="O91" i="61"/>
  <c r="Q91" i="61" s="1"/>
  <c r="S91" i="61" s="1"/>
  <c r="O90" i="61"/>
  <c r="Q90" i="61" s="1"/>
  <c r="S90" i="61" s="1"/>
  <c r="O89" i="61"/>
  <c r="Q89" i="61" s="1"/>
  <c r="S89" i="61" s="1"/>
  <c r="O88" i="61"/>
  <c r="Q88" i="61" s="1"/>
  <c r="S88" i="61" s="1"/>
  <c r="O87" i="61"/>
  <c r="Q87" i="61" s="1"/>
  <c r="S87" i="61" s="1"/>
  <c r="O86" i="61"/>
  <c r="Q86" i="61" s="1"/>
  <c r="S86" i="61" s="1"/>
  <c r="O85" i="61"/>
  <c r="Q85" i="61" s="1"/>
  <c r="S85" i="61" s="1"/>
  <c r="O84" i="61"/>
  <c r="Q84" i="61" s="1"/>
  <c r="S84" i="61" s="1"/>
  <c r="O83" i="61"/>
  <c r="Q83" i="61" s="1"/>
  <c r="S83" i="61" s="1"/>
  <c r="O82" i="61"/>
  <c r="Q82" i="61" s="1"/>
  <c r="S82" i="61" s="1"/>
  <c r="O81" i="61"/>
  <c r="Q81" i="61" s="1"/>
  <c r="S81" i="61" s="1"/>
  <c r="O80" i="61"/>
  <c r="Q80" i="61" s="1"/>
  <c r="S80" i="61" s="1"/>
  <c r="O79" i="61"/>
  <c r="Q79" i="61" s="1"/>
  <c r="S79" i="61" s="1"/>
  <c r="O78" i="61"/>
  <c r="Q78" i="61" s="1"/>
  <c r="S78" i="61" s="1"/>
  <c r="O77" i="61"/>
  <c r="Q77" i="61" s="1"/>
  <c r="S77" i="61" s="1"/>
  <c r="O76" i="61"/>
  <c r="Q76" i="61" s="1"/>
  <c r="S76" i="61" s="1"/>
  <c r="O75" i="61"/>
  <c r="Q75" i="61" s="1"/>
  <c r="S75" i="61" s="1"/>
  <c r="O74" i="61"/>
  <c r="Q74" i="61" s="1"/>
  <c r="S74" i="61" s="1"/>
  <c r="O73" i="61"/>
  <c r="Q73" i="61" s="1"/>
  <c r="S73" i="61" s="1"/>
  <c r="O72" i="61"/>
  <c r="Q72" i="61" s="1"/>
  <c r="S72" i="61" s="1"/>
  <c r="O71" i="61"/>
  <c r="Q71" i="61" s="1"/>
  <c r="S71" i="61" s="1"/>
  <c r="O70" i="61"/>
  <c r="Q70" i="61" s="1"/>
  <c r="S70" i="61" s="1"/>
  <c r="O69" i="61"/>
  <c r="Q69" i="61" s="1"/>
  <c r="S69" i="61" s="1"/>
  <c r="O68" i="61"/>
  <c r="Q68" i="61" s="1"/>
  <c r="S68" i="61" s="1"/>
  <c r="O67" i="61"/>
  <c r="Q67" i="61" s="1"/>
  <c r="S67" i="61" s="1"/>
  <c r="O66" i="61"/>
  <c r="Q66" i="61" s="1"/>
  <c r="S66" i="61" s="1"/>
  <c r="O65" i="61"/>
  <c r="Q65" i="61" s="1"/>
  <c r="S65" i="61" s="1"/>
  <c r="O64" i="61"/>
  <c r="Q64" i="61" s="1"/>
  <c r="S64" i="61" s="1"/>
  <c r="O63" i="61"/>
  <c r="Q63" i="61" s="1"/>
  <c r="S63" i="61" s="1"/>
  <c r="O62" i="61"/>
  <c r="Q62" i="61" s="1"/>
  <c r="S62" i="61" s="1"/>
  <c r="O61" i="61"/>
  <c r="Q61" i="61" s="1"/>
  <c r="S61" i="61" s="1"/>
  <c r="O60" i="61"/>
  <c r="Q60" i="61" s="1"/>
  <c r="S60" i="61" s="1"/>
  <c r="O59" i="61"/>
  <c r="Q59" i="61" s="1"/>
  <c r="S59" i="61" s="1"/>
  <c r="O58" i="61"/>
  <c r="Q58" i="61" s="1"/>
  <c r="S58" i="61" s="1"/>
  <c r="O57" i="61"/>
  <c r="Q57" i="61" s="1"/>
  <c r="S57" i="61" s="1"/>
  <c r="O56" i="61"/>
  <c r="Q56" i="61" s="1"/>
  <c r="S56" i="61" s="1"/>
  <c r="O55" i="61"/>
  <c r="Q55" i="61" s="1"/>
  <c r="S55" i="61" s="1"/>
  <c r="O54" i="61"/>
  <c r="Q54" i="61" s="1"/>
  <c r="S54" i="61" s="1"/>
  <c r="O53" i="61"/>
  <c r="Q53" i="61" s="1"/>
  <c r="S53" i="61" s="1"/>
  <c r="O52" i="61"/>
  <c r="Q52" i="61" s="1"/>
  <c r="S52" i="61" s="1"/>
  <c r="O51" i="61"/>
  <c r="Q51" i="61" s="1"/>
  <c r="S51" i="61" s="1"/>
  <c r="O50" i="61"/>
  <c r="Q50" i="61" s="1"/>
  <c r="S50" i="61" s="1"/>
  <c r="O49" i="61"/>
  <c r="Q49" i="61" s="1"/>
  <c r="S49" i="61" s="1"/>
  <c r="O48" i="61"/>
  <c r="Q48" i="61" s="1"/>
  <c r="S48" i="61" s="1"/>
  <c r="O47" i="61"/>
  <c r="Q47" i="61" s="1"/>
  <c r="S47" i="61" s="1"/>
  <c r="O46" i="61"/>
  <c r="Q46" i="61" s="1"/>
  <c r="S46" i="61" s="1"/>
  <c r="O45" i="61"/>
  <c r="Q45" i="61" s="1"/>
  <c r="S45" i="61" s="1"/>
  <c r="O44" i="61"/>
  <c r="Q44" i="61" s="1"/>
  <c r="S44" i="61" s="1"/>
  <c r="O43" i="61"/>
  <c r="Q43" i="61" s="1"/>
  <c r="S43" i="61" s="1"/>
  <c r="O42" i="61"/>
  <c r="Q42" i="61" s="1"/>
  <c r="S42" i="61" s="1"/>
  <c r="O41" i="61"/>
  <c r="Q41" i="61" s="1"/>
  <c r="S41" i="61" s="1"/>
  <c r="O40" i="61"/>
  <c r="Q40" i="61" s="1"/>
  <c r="S40" i="61" s="1"/>
  <c r="O39" i="61"/>
  <c r="Q39" i="61" s="1"/>
  <c r="S39" i="61" s="1"/>
  <c r="O38" i="61"/>
  <c r="Q38" i="61" s="1"/>
  <c r="S38" i="61" s="1"/>
  <c r="O37" i="61"/>
  <c r="Q37" i="61" s="1"/>
  <c r="S37" i="61" s="1"/>
  <c r="O36" i="61"/>
  <c r="Q36" i="61" s="1"/>
  <c r="S36" i="61" s="1"/>
  <c r="O35" i="61"/>
  <c r="Q35" i="61" s="1"/>
  <c r="S35" i="61" s="1"/>
  <c r="O34" i="61"/>
  <c r="Q34" i="61" s="1"/>
  <c r="S34" i="61" s="1"/>
  <c r="O33" i="61"/>
  <c r="O32" i="61"/>
  <c r="Q32" i="61" s="1"/>
  <c r="S32" i="61" s="1"/>
  <c r="O31" i="61"/>
  <c r="Q31" i="61" s="1"/>
  <c r="S31" i="61" s="1"/>
  <c r="O30" i="61"/>
  <c r="Q30" i="61" s="1"/>
  <c r="S30" i="61" s="1"/>
  <c r="O29" i="61"/>
  <c r="Q29" i="61" s="1"/>
  <c r="S29" i="61" s="1"/>
  <c r="O28" i="61"/>
  <c r="Q28" i="61" s="1"/>
  <c r="S28" i="61" s="1"/>
  <c r="O27" i="61"/>
  <c r="Q27" i="61" s="1"/>
  <c r="S27" i="61" s="1"/>
  <c r="O26" i="61"/>
  <c r="Q26" i="61" s="1"/>
  <c r="S26" i="61" s="1"/>
  <c r="O25" i="61"/>
  <c r="Q25" i="61" s="1"/>
  <c r="S25" i="61" s="1"/>
  <c r="O24" i="61"/>
  <c r="Q24" i="61" s="1"/>
  <c r="O23" i="61"/>
  <c r="O22" i="61"/>
  <c r="O57" i="60"/>
  <c r="Q57" i="60" s="1"/>
  <c r="S57" i="60" s="1"/>
  <c r="O56" i="60"/>
  <c r="Q56" i="60" s="1"/>
  <c r="S56" i="60" s="1"/>
  <c r="O55" i="60"/>
  <c r="Q55" i="60" s="1"/>
  <c r="S55" i="60" s="1"/>
  <c r="O54" i="60"/>
  <c r="Q54" i="60" s="1"/>
  <c r="S54" i="60" s="1"/>
  <c r="O53" i="60"/>
  <c r="O52" i="60"/>
  <c r="Q52" i="60" s="1"/>
  <c r="S52" i="60" s="1"/>
  <c r="O51" i="60"/>
  <c r="Q51" i="60" s="1"/>
  <c r="S51" i="60" s="1"/>
  <c r="O50" i="60"/>
  <c r="Q50" i="60" s="1"/>
  <c r="S50" i="60" s="1"/>
  <c r="O49" i="60"/>
  <c r="Q49" i="60" s="1"/>
  <c r="S49" i="60" s="1"/>
  <c r="O48" i="60"/>
  <c r="Q48" i="60" s="1"/>
  <c r="S48" i="60" s="1"/>
  <c r="O47" i="60"/>
  <c r="Q47" i="60" s="1"/>
  <c r="S47" i="60" s="1"/>
  <c r="O46" i="60"/>
  <c r="Q46" i="60" s="1"/>
  <c r="S46" i="60" s="1"/>
  <c r="O45" i="60"/>
  <c r="Q45" i="60" s="1"/>
  <c r="S45" i="60" s="1"/>
  <c r="O44" i="60"/>
  <c r="Q44" i="60" s="1"/>
  <c r="S44" i="60" s="1"/>
  <c r="O43" i="60"/>
  <c r="Q43" i="60" s="1"/>
  <c r="S43" i="60" s="1"/>
  <c r="O42" i="60"/>
  <c r="Q42" i="60" s="1"/>
  <c r="S42" i="60" s="1"/>
  <c r="O41" i="60"/>
  <c r="Q41" i="60" s="1"/>
  <c r="S41" i="60" s="1"/>
  <c r="O40" i="60"/>
  <c r="Q40" i="60" s="1"/>
  <c r="S40" i="60" s="1"/>
  <c r="O39" i="60"/>
  <c r="Q39" i="60" s="1"/>
  <c r="S39" i="60" s="1"/>
  <c r="O38" i="60"/>
  <c r="Q38" i="60" s="1"/>
  <c r="S38" i="60" s="1"/>
  <c r="O37" i="60"/>
  <c r="Q37" i="60" s="1"/>
  <c r="S37" i="60" s="1"/>
  <c r="O36" i="60"/>
  <c r="Q36" i="60" s="1"/>
  <c r="S36" i="60" s="1"/>
  <c r="O35" i="60"/>
  <c r="Q35" i="60" s="1"/>
  <c r="S35" i="60" s="1"/>
  <c r="O34" i="60"/>
  <c r="Q34" i="60" s="1"/>
  <c r="S34" i="60" s="1"/>
  <c r="O33" i="60"/>
  <c r="Q33" i="60" s="1"/>
  <c r="S33" i="60" s="1"/>
  <c r="O32" i="60"/>
  <c r="Q32" i="60" s="1"/>
  <c r="S32" i="60" s="1"/>
  <c r="O31" i="60"/>
  <c r="Q31" i="60" s="1"/>
  <c r="S31" i="60" s="1"/>
  <c r="O30" i="60"/>
  <c r="Q30" i="60" s="1"/>
  <c r="S30" i="60" s="1"/>
  <c r="O29" i="60"/>
  <c r="Q29" i="60" s="1"/>
  <c r="S29" i="60" s="1"/>
  <c r="O28" i="60"/>
  <c r="Q28" i="60" s="1"/>
  <c r="S28" i="60" s="1"/>
  <c r="O27" i="60"/>
  <c r="Q27" i="60" s="1"/>
  <c r="S27" i="60" s="1"/>
  <c r="O26" i="60"/>
  <c r="Q26" i="60" s="1"/>
  <c r="S26" i="60" s="1"/>
  <c r="O25" i="60"/>
  <c r="Q25" i="60" s="1"/>
  <c r="S25" i="60" s="1"/>
  <c r="O24" i="60"/>
  <c r="Q24" i="60" s="1"/>
  <c r="S24" i="60" s="1"/>
  <c r="O23" i="60"/>
  <c r="Q23" i="60" s="1"/>
  <c r="S23" i="60" s="1"/>
  <c r="O22" i="60"/>
  <c r="Q22" i="60" s="1"/>
  <c r="H18" i="29"/>
  <c r="F61" i="43"/>
  <c r="F62" i="43" s="1"/>
  <c r="K62" i="43" s="1"/>
  <c r="F61" i="29"/>
  <c r="F62" i="29" s="1"/>
  <c r="K62" i="29" s="1"/>
  <c r="F61" i="38"/>
  <c r="F62" i="38" s="1"/>
  <c r="K5" i="43"/>
  <c r="K5" i="29"/>
  <c r="K5" i="38"/>
  <c r="A1" i="44"/>
  <c r="H62" i="44"/>
  <c r="K28" i="43"/>
  <c r="K23" i="43"/>
  <c r="K21" i="43"/>
  <c r="K19" i="43"/>
  <c r="K17" i="43"/>
  <c r="K28" i="29"/>
  <c r="K23" i="29"/>
  <c r="K21" i="29"/>
  <c r="K19" i="29"/>
  <c r="K17" i="29"/>
  <c r="K28" i="38"/>
  <c r="K23" i="38"/>
  <c r="K21" i="38"/>
  <c r="K19" i="38"/>
  <c r="K17" i="38"/>
  <c r="M22" i="44"/>
  <c r="P22" i="44"/>
  <c r="H24" i="44"/>
  <c r="H26" i="29"/>
  <c r="K63" i="44"/>
  <c r="F20" i="44"/>
  <c r="H31" i="44"/>
  <c r="K61" i="43"/>
  <c r="H20" i="29"/>
  <c r="A1" i="43"/>
  <c r="A1" i="29"/>
  <c r="A1" i="38"/>
  <c r="F24" i="43"/>
  <c r="H24" i="43" s="1"/>
  <c r="K59" i="44"/>
  <c r="H59" i="43"/>
  <c r="K57" i="43"/>
  <c r="F22" i="29"/>
  <c r="H22" i="29" s="1"/>
  <c r="H18" i="38"/>
  <c r="H24" i="38"/>
  <c r="H59" i="38"/>
  <c r="H60" i="38" s="1"/>
  <c r="K57" i="38"/>
  <c r="H29" i="29"/>
  <c r="K29" i="29" s="1"/>
  <c r="O7" i="43"/>
  <c r="O25" i="43" s="1"/>
  <c r="O27" i="43" s="1"/>
  <c r="M7" i="43"/>
  <c r="M25" i="43" s="1"/>
  <c r="N7" i="43"/>
  <c r="N25" i="43" s="1"/>
  <c r="N27" i="43" s="1"/>
  <c r="P7" i="43"/>
  <c r="P25" i="43" s="1"/>
  <c r="P27" i="43" s="1"/>
  <c r="F20" i="38"/>
  <c r="F29" i="38" s="1"/>
  <c r="H29" i="38"/>
  <c r="K29" i="38" s="1"/>
  <c r="H29" i="43"/>
  <c r="K29" i="43" s="1"/>
  <c r="F18" i="43"/>
  <c r="F26" i="44"/>
  <c r="H26" i="44" s="1"/>
  <c r="F22" i="43"/>
  <c r="H22" i="43" s="1"/>
  <c r="F26" i="43"/>
  <c r="H26" i="43" s="1"/>
  <c r="H59" i="29"/>
  <c r="H60" i="29" s="1"/>
  <c r="K57" i="29"/>
  <c r="F20" i="43"/>
  <c r="H20" i="43" s="1"/>
  <c r="H24" i="29"/>
  <c r="F31" i="44" l="1"/>
  <c r="O31" i="1"/>
  <c r="Q22" i="72"/>
  <c r="R22" i="72" s="1"/>
  <c r="S22" i="72"/>
  <c r="S76" i="73"/>
  <c r="Q76" i="73"/>
  <c r="R76" i="73" s="1"/>
  <c r="Q30" i="73"/>
  <c r="R30" i="73" s="1"/>
  <c r="S30" i="73"/>
  <c r="Q31" i="73"/>
  <c r="R31" i="73" s="1"/>
  <c r="S31" i="73"/>
  <c r="Q95" i="73"/>
  <c r="R95" i="73" s="1"/>
  <c r="S95" i="73"/>
  <c r="Q49" i="73"/>
  <c r="R49" i="73" s="1"/>
  <c r="S49" i="73"/>
  <c r="Q97" i="73"/>
  <c r="R97" i="73" s="1"/>
  <c r="S97" i="73"/>
  <c r="Q34" i="73"/>
  <c r="R34" i="73" s="1"/>
  <c r="S34" i="73"/>
  <c r="Q52" i="73"/>
  <c r="R52" i="73" s="1"/>
  <c r="S52" i="73"/>
  <c r="S68" i="73"/>
  <c r="Q68" i="73"/>
  <c r="R68" i="73" s="1"/>
  <c r="S84" i="73"/>
  <c r="Q84" i="73"/>
  <c r="R84" i="73" s="1"/>
  <c r="S85" i="73"/>
  <c r="Q85" i="73"/>
  <c r="R85" i="73" s="1"/>
  <c r="S41" i="73"/>
  <c r="Q41" i="73"/>
  <c r="R41" i="73" s="1"/>
  <c r="S73" i="73"/>
  <c r="Q73" i="73"/>
  <c r="R73" i="73" s="1"/>
  <c r="S89" i="73"/>
  <c r="Q89" i="73"/>
  <c r="R89" i="73" s="1"/>
  <c r="S42" i="73"/>
  <c r="Q42" i="73"/>
  <c r="R42" i="73" s="1"/>
  <c r="S60" i="73"/>
  <c r="Q60" i="73"/>
  <c r="R60" i="73" s="1"/>
  <c r="S29" i="73"/>
  <c r="Q29" i="73"/>
  <c r="R29" i="73" s="1"/>
  <c r="Q61" i="73"/>
  <c r="R61" i="73" s="1"/>
  <c r="S61" i="73"/>
  <c r="Q47" i="73"/>
  <c r="R47" i="73" s="1"/>
  <c r="S47" i="73"/>
  <c r="S63" i="73"/>
  <c r="Q63" i="73"/>
  <c r="R63" i="73" s="1"/>
  <c r="Q48" i="73"/>
  <c r="R48" i="73" s="1"/>
  <c r="S48" i="73"/>
  <c r="Q67" i="73"/>
  <c r="R67" i="73" s="1"/>
  <c r="S67" i="73"/>
  <c r="S54" i="73"/>
  <c r="Q54" i="73"/>
  <c r="R54" i="73" s="1"/>
  <c r="S55" i="73"/>
  <c r="Q55" i="73"/>
  <c r="R55" i="73" s="1"/>
  <c r="S103" i="73"/>
  <c r="Q103" i="73"/>
  <c r="R103" i="73" s="1"/>
  <c r="S56" i="73"/>
  <c r="Q56" i="73"/>
  <c r="R56" i="73" s="1"/>
  <c r="S24" i="73"/>
  <c r="Q24" i="73"/>
  <c r="R24" i="73" s="1"/>
  <c r="S25" i="73"/>
  <c r="Q25" i="73"/>
  <c r="R25" i="73" s="1"/>
  <c r="S57" i="73"/>
  <c r="Q57" i="73"/>
  <c r="R57" i="73" s="1"/>
  <c r="Q105" i="73"/>
  <c r="R105" i="73" s="1"/>
  <c r="S105" i="73"/>
  <c r="S26" i="73"/>
  <c r="Q26" i="73"/>
  <c r="R26" i="73" s="1"/>
  <c r="S58" i="73"/>
  <c r="Q58" i="73"/>
  <c r="R58" i="73" s="1"/>
  <c r="S27" i="73"/>
  <c r="Q27" i="73"/>
  <c r="R27" i="73" s="1"/>
  <c r="S43" i="73"/>
  <c r="Q43" i="73"/>
  <c r="R43" i="73" s="1"/>
  <c r="S59" i="73"/>
  <c r="Q59" i="73"/>
  <c r="R59" i="73" s="1"/>
  <c r="S28" i="73"/>
  <c r="Q28" i="73"/>
  <c r="R28" i="73" s="1"/>
  <c r="S77" i="73"/>
  <c r="Q77" i="73"/>
  <c r="R77" i="73" s="1"/>
  <c r="S62" i="73"/>
  <c r="Q62" i="73"/>
  <c r="R62" i="73" s="1"/>
  <c r="S98" i="73"/>
  <c r="Q98" i="73"/>
  <c r="R98" i="73" s="1"/>
  <c r="Q35" i="73"/>
  <c r="R35" i="73" s="1"/>
  <c r="S35" i="73"/>
  <c r="S53" i="73"/>
  <c r="Q53" i="73"/>
  <c r="R53" i="73" s="1"/>
  <c r="Q23" i="73"/>
  <c r="R23" i="73" s="1"/>
  <c r="S23" i="73"/>
  <c r="S79" i="73"/>
  <c r="Q79" i="73"/>
  <c r="R79" i="73" s="1"/>
  <c r="Q50" i="73"/>
  <c r="R50" i="73" s="1"/>
  <c r="S50" i="73"/>
  <c r="Q51" i="73"/>
  <c r="R51" i="73" s="1"/>
  <c r="S51" i="73"/>
  <c r="Q69" i="73"/>
  <c r="R69" i="73" s="1"/>
  <c r="S69" i="73"/>
  <c r="S39" i="73"/>
  <c r="Q39" i="73"/>
  <c r="R39" i="73" s="1"/>
  <c r="S71" i="73"/>
  <c r="Q71" i="73"/>
  <c r="R71" i="73" s="1"/>
  <c r="S87" i="73"/>
  <c r="Q87" i="73"/>
  <c r="R87" i="73" s="1"/>
  <c r="S86" i="73"/>
  <c r="Q86" i="73"/>
  <c r="R86" i="73" s="1"/>
  <c r="S40" i="73"/>
  <c r="Q40" i="73"/>
  <c r="R40" i="73" s="1"/>
  <c r="S72" i="73"/>
  <c r="Q72" i="73"/>
  <c r="R72" i="73" s="1"/>
  <c r="S88" i="73"/>
  <c r="Q88" i="73"/>
  <c r="R88" i="73" s="1"/>
  <c r="S74" i="73"/>
  <c r="Q74" i="73"/>
  <c r="R74" i="73" s="1"/>
  <c r="Q22" i="73"/>
  <c r="R22" i="73" s="1"/>
  <c r="S22" i="73"/>
  <c r="Q70" i="73"/>
  <c r="R70" i="73" s="1"/>
  <c r="S70" i="73"/>
  <c r="Q32" i="73"/>
  <c r="R32" i="73" s="1"/>
  <c r="S32" i="73"/>
  <c r="Q80" i="73"/>
  <c r="R80" i="73" s="1"/>
  <c r="S80" i="73"/>
  <c r="S96" i="73"/>
  <c r="Q96" i="73"/>
  <c r="R96" i="73" s="1"/>
  <c r="S66" i="73"/>
  <c r="Q66" i="73"/>
  <c r="R66" i="73" s="1"/>
  <c r="S99" i="73"/>
  <c r="Q99" i="73"/>
  <c r="R99" i="73" s="1"/>
  <c r="S101" i="73"/>
  <c r="Q101" i="73"/>
  <c r="R101" i="73" s="1"/>
  <c r="S102" i="73"/>
  <c r="Q102" i="73"/>
  <c r="R102" i="73" s="1"/>
  <c r="S94" i="73"/>
  <c r="Q94" i="73"/>
  <c r="R94" i="73" s="1"/>
  <c r="Q45" i="73"/>
  <c r="R45" i="73" s="1"/>
  <c r="S45" i="73"/>
  <c r="S90" i="73"/>
  <c r="Q90" i="73"/>
  <c r="R90" i="73" s="1"/>
  <c r="S75" i="73"/>
  <c r="Q75" i="73"/>
  <c r="R75" i="73" s="1"/>
  <c r="Q91" i="73"/>
  <c r="R91" i="73" s="1"/>
  <c r="S91" i="73"/>
  <c r="Q92" i="73"/>
  <c r="R92" i="73" s="1"/>
  <c r="S92" i="73"/>
  <c r="S93" i="73"/>
  <c r="Q93" i="73"/>
  <c r="R93" i="73" s="1"/>
  <c r="S36" i="73"/>
  <c r="Q36" i="73"/>
  <c r="R36" i="73" s="1"/>
  <c r="S37" i="73"/>
  <c r="Q37" i="73"/>
  <c r="R37" i="73" s="1"/>
  <c r="S38" i="73"/>
  <c r="Q38" i="73"/>
  <c r="R38" i="73" s="1"/>
  <c r="S78" i="73"/>
  <c r="Q78" i="73"/>
  <c r="R78" i="73" s="1"/>
  <c r="Q65" i="73"/>
  <c r="R65" i="73" s="1"/>
  <c r="S65" i="73"/>
  <c r="S81" i="73"/>
  <c r="Q81" i="73"/>
  <c r="R81" i="73" s="1"/>
  <c r="S100" i="73"/>
  <c r="Q100" i="73"/>
  <c r="R100" i="73" s="1"/>
  <c r="Q104" i="73"/>
  <c r="R104" i="73" s="1"/>
  <c r="S104" i="73"/>
  <c r="S44" i="73"/>
  <c r="Q44" i="73"/>
  <c r="R44" i="73" s="1"/>
  <c r="S46" i="73"/>
  <c r="Q46" i="73"/>
  <c r="R46" i="73" s="1"/>
  <c r="S33" i="73"/>
  <c r="Q33" i="73"/>
  <c r="S82" i="73"/>
  <c r="Q82" i="73"/>
  <c r="R82" i="73" s="1"/>
  <c r="S83" i="73"/>
  <c r="Q83" i="73"/>
  <c r="R83" i="73" s="1"/>
  <c r="S64" i="73"/>
  <c r="Q64" i="73"/>
  <c r="R64" i="73" s="1"/>
  <c r="S41" i="72"/>
  <c r="Q41" i="72"/>
  <c r="R41" i="72" s="1"/>
  <c r="Q27" i="72"/>
  <c r="R27" i="72" s="1"/>
  <c r="S27" i="72"/>
  <c r="S29" i="72"/>
  <c r="Q29" i="72"/>
  <c r="R29" i="72" s="1"/>
  <c r="S36" i="72"/>
  <c r="Q36" i="72"/>
  <c r="R36" i="72" s="1"/>
  <c r="Q37" i="72"/>
  <c r="R37" i="72" s="1"/>
  <c r="S37" i="72"/>
  <c r="S42" i="72"/>
  <c r="Q42" i="72"/>
  <c r="R42" i="72" s="1"/>
  <c r="S44" i="72"/>
  <c r="Q44" i="72"/>
  <c r="R44" i="72" s="1"/>
  <c r="Q30" i="72"/>
  <c r="R30" i="72" s="1"/>
  <c r="S30" i="72"/>
  <c r="S50" i="72"/>
  <c r="Q50" i="72"/>
  <c r="R50" i="72" s="1"/>
  <c r="Q55" i="72"/>
  <c r="R55" i="72" s="1"/>
  <c r="S55" i="72"/>
  <c r="S56" i="72"/>
  <c r="Q56" i="72"/>
  <c r="R56" i="72" s="1"/>
  <c r="S23" i="72"/>
  <c r="Q23" i="72"/>
  <c r="R23" i="72" s="1"/>
  <c r="S51" i="72"/>
  <c r="Q51" i="72"/>
  <c r="R51" i="72" s="1"/>
  <c r="S24" i="72"/>
  <c r="Q24" i="72"/>
  <c r="R24" i="72" s="1"/>
  <c r="S54" i="72"/>
  <c r="Q54" i="72"/>
  <c r="R54" i="72" s="1"/>
  <c r="Q25" i="72"/>
  <c r="R25" i="72" s="1"/>
  <c r="S25" i="72"/>
  <c r="Q26" i="72"/>
  <c r="R26" i="72" s="1"/>
  <c r="S26" i="72"/>
  <c r="S28" i="72"/>
  <c r="Q28" i="72"/>
  <c r="R28" i="72" s="1"/>
  <c r="S35" i="72"/>
  <c r="Q35" i="72"/>
  <c r="R35" i="72" s="1"/>
  <c r="S52" i="72"/>
  <c r="Q52" i="72"/>
  <c r="R52" i="72" s="1"/>
  <c r="Q38" i="72"/>
  <c r="R38" i="72" s="1"/>
  <c r="S38" i="72"/>
  <c r="S39" i="72"/>
  <c r="Q39" i="72"/>
  <c r="R39" i="72" s="1"/>
  <c r="S43" i="72"/>
  <c r="Q43" i="72"/>
  <c r="R43" i="72" s="1"/>
  <c r="S45" i="72"/>
  <c r="Q45" i="72"/>
  <c r="R45" i="72" s="1"/>
  <c r="Q46" i="72"/>
  <c r="R46" i="72" s="1"/>
  <c r="S46" i="72"/>
  <c r="Q31" i="72"/>
  <c r="R31" i="72" s="1"/>
  <c r="S31" i="72"/>
  <c r="Q47" i="72"/>
  <c r="R47" i="72" s="1"/>
  <c r="S47" i="72"/>
  <c r="S32" i="72"/>
  <c r="Q32" i="72"/>
  <c r="R32" i="72" s="1"/>
  <c r="Q48" i="72"/>
  <c r="R48" i="72" s="1"/>
  <c r="S48" i="72"/>
  <c r="S33" i="72"/>
  <c r="Q33" i="72"/>
  <c r="R33" i="72" s="1"/>
  <c r="Q49" i="72"/>
  <c r="R49" i="72" s="1"/>
  <c r="S49" i="72"/>
  <c r="S34" i="72"/>
  <c r="Q34" i="72"/>
  <c r="R34" i="72" s="1"/>
  <c r="S53" i="72"/>
  <c r="Q53" i="72"/>
  <c r="R53" i="72" s="1"/>
  <c r="S40" i="72"/>
  <c r="Q40" i="72"/>
  <c r="I12" i="23"/>
  <c r="K12" i="23" s="1"/>
  <c r="O37" i="1"/>
  <c r="I11" i="23"/>
  <c r="K11" i="23" s="1"/>
  <c r="O32" i="1"/>
  <c r="I6" i="23"/>
  <c r="K6" i="23" s="1"/>
  <c r="O26" i="1"/>
  <c r="F12" i="3"/>
  <c r="I32" i="1"/>
  <c r="I31" i="1"/>
  <c r="F6" i="3"/>
  <c r="I26" i="1"/>
  <c r="I10" i="23"/>
  <c r="K10" i="23" s="1"/>
  <c r="J10" i="23" s="1"/>
  <c r="I14" i="3"/>
  <c r="F11" i="3"/>
  <c r="I12" i="3"/>
  <c r="I16" i="3"/>
  <c r="I17" i="3"/>
  <c r="I8" i="3"/>
  <c r="I15" i="3"/>
  <c r="I11" i="3"/>
  <c r="I10" i="3"/>
  <c r="S22" i="79"/>
  <c r="Q21" i="79"/>
  <c r="S21" i="79" s="1"/>
  <c r="S22" i="77"/>
  <c r="Q21" i="77"/>
  <c r="S21" i="77" s="1"/>
  <c r="S22" i="76"/>
  <c r="Q21" i="76"/>
  <c r="S21" i="76" s="1"/>
  <c r="S22" i="71"/>
  <c r="Q21" i="71"/>
  <c r="S21" i="71" s="1"/>
  <c r="S22" i="70"/>
  <c r="Q21" i="70"/>
  <c r="S21" i="70" s="1"/>
  <c r="S22" i="69"/>
  <c r="Q21" i="69"/>
  <c r="S21" i="69" s="1"/>
  <c r="S22" i="68"/>
  <c r="Q21" i="68"/>
  <c r="S21" i="68" s="1"/>
  <c r="S22" i="67"/>
  <c r="Q21" i="67"/>
  <c r="S21" i="67" s="1"/>
  <c r="S22" i="66"/>
  <c r="Q21" i="66"/>
  <c r="S21" i="66" s="1"/>
  <c r="S22" i="65"/>
  <c r="Q21" i="65"/>
  <c r="S21" i="65" s="1"/>
  <c r="S22" i="63"/>
  <c r="Q21" i="63"/>
  <c r="S21" i="63" s="1"/>
  <c r="S22" i="62"/>
  <c r="Q21" i="62"/>
  <c r="S21" i="62" s="1"/>
  <c r="S24" i="61"/>
  <c r="Q21" i="61"/>
  <c r="S21" i="61" s="1"/>
  <c r="S22" i="60"/>
  <c r="Q21" i="60"/>
  <c r="S21" i="60" s="1"/>
  <c r="H20" i="44"/>
  <c r="H18" i="43"/>
  <c r="F29" i="43"/>
  <c r="F29" i="29"/>
  <c r="H63" i="44"/>
  <c r="K6" i="44"/>
  <c r="P10" i="43"/>
  <c r="P12" i="43" s="1"/>
  <c r="P22" i="43"/>
  <c r="M10" i="43"/>
  <c r="M12" i="43" s="1"/>
  <c r="M22" i="43"/>
  <c r="O22" i="43"/>
  <c r="N22" i="43"/>
  <c r="K62" i="38"/>
  <c r="H20" i="38"/>
  <c r="N10" i="43"/>
  <c r="N12" i="43" s="1"/>
  <c r="O10" i="43"/>
  <c r="O12" i="43" s="1"/>
  <c r="M27" i="43"/>
  <c r="K31" i="44"/>
  <c r="O23" i="78" l="1"/>
  <c r="O22" i="78"/>
  <c r="O24" i="78"/>
  <c r="O24" i="64"/>
  <c r="Q24" i="64" s="1"/>
  <c r="S24" i="64" s="1"/>
  <c r="O22" i="64"/>
  <c r="Q22" i="64" s="1"/>
  <c r="O23" i="64"/>
  <c r="Q23" i="64" s="1"/>
  <c r="S23" i="64" s="1"/>
  <c r="Q23" i="78"/>
  <c r="S23" i="78" s="1"/>
  <c r="Q22" i="78"/>
  <c r="Q24" i="78"/>
  <c r="S24" i="78" s="1"/>
  <c r="R33" i="73"/>
  <c r="Q21" i="73"/>
  <c r="S14" i="73"/>
  <c r="S14" i="72"/>
  <c r="R40" i="72"/>
  <c r="Q21" i="72"/>
  <c r="C11" i="23"/>
  <c r="E11" i="23" s="1"/>
  <c r="D11" i="23" s="1"/>
  <c r="M32" i="1"/>
  <c r="C6" i="23"/>
  <c r="J6" i="23" s="1"/>
  <c r="M26" i="1"/>
  <c r="E7" i="3"/>
  <c r="H27" i="1"/>
  <c r="C17" i="3"/>
  <c r="J17" i="3" s="1"/>
  <c r="L17" i="3" s="1"/>
  <c r="K17" i="3" s="1"/>
  <c r="F37" i="1"/>
  <c r="Q37" i="1" s="1"/>
  <c r="R37" i="1" s="1"/>
  <c r="C16" i="3"/>
  <c r="J16" i="3" s="1"/>
  <c r="L16" i="3" s="1"/>
  <c r="K16" i="3" s="1"/>
  <c r="F36" i="1"/>
  <c r="Q36" i="1" s="1"/>
  <c r="R36" i="1" s="1"/>
  <c r="C15" i="3"/>
  <c r="J15" i="3" s="1"/>
  <c r="L15" i="3" s="1"/>
  <c r="K15" i="3" s="1"/>
  <c r="F35" i="1"/>
  <c r="Q35" i="1" s="1"/>
  <c r="R35" i="1" s="1"/>
  <c r="C14" i="3"/>
  <c r="J14" i="3" s="1"/>
  <c r="L14" i="3" s="1"/>
  <c r="K14" i="3" s="1"/>
  <c r="F34" i="1"/>
  <c r="Q34" i="1" s="1"/>
  <c r="R34" i="1" s="1"/>
  <c r="C13" i="3"/>
  <c r="J13" i="3" s="1"/>
  <c r="L13" i="3" s="1"/>
  <c r="K13" i="3" s="1"/>
  <c r="F33" i="1"/>
  <c r="Q33" i="1" s="1"/>
  <c r="R33" i="1" s="1"/>
  <c r="C12" i="3"/>
  <c r="J12" i="3" s="1"/>
  <c r="L12" i="3" s="1"/>
  <c r="K12" i="3" s="1"/>
  <c r="F32" i="1"/>
  <c r="C11" i="3"/>
  <c r="J11" i="3" s="1"/>
  <c r="L11" i="3" s="1"/>
  <c r="K11" i="3" s="1"/>
  <c r="F31" i="1"/>
  <c r="Q31" i="1" s="1"/>
  <c r="R31" i="1" s="1"/>
  <c r="C9" i="3"/>
  <c r="J9" i="3" s="1"/>
  <c r="L9" i="3" s="1"/>
  <c r="K9" i="3" s="1"/>
  <c r="F29" i="1"/>
  <c r="Q29" i="1" s="1"/>
  <c r="R29" i="1" s="1"/>
  <c r="C8" i="3"/>
  <c r="J8" i="3" s="1"/>
  <c r="L8" i="3" s="1"/>
  <c r="K8" i="3" s="1"/>
  <c r="F28" i="1"/>
  <c r="Q28" i="1" s="1"/>
  <c r="R28" i="1" s="1"/>
  <c r="C7" i="3"/>
  <c r="F27" i="1"/>
  <c r="C6" i="3"/>
  <c r="F26" i="1"/>
  <c r="J11" i="23"/>
  <c r="J12" i="23"/>
  <c r="N13" i="43"/>
  <c r="N14" i="43" s="1"/>
  <c r="N15" i="43" s="1"/>
  <c r="N16" i="43" s="1"/>
  <c r="N17" i="43" s="1"/>
  <c r="N18" i="43" s="1"/>
  <c r="N19" i="43" s="1"/>
  <c r="N20" i="43" s="1"/>
  <c r="N21" i="43" s="1"/>
  <c r="P13" i="43"/>
  <c r="P14" i="43" s="1"/>
  <c r="P15" i="43" s="1"/>
  <c r="P16" i="43" s="1"/>
  <c r="P17" i="43" s="1"/>
  <c r="P18" i="43" s="1"/>
  <c r="P19" i="43" s="1"/>
  <c r="P20" i="43" s="1"/>
  <c r="P21" i="43" s="1"/>
  <c r="O13" i="43"/>
  <c r="O14" i="43" s="1"/>
  <c r="O15" i="43" s="1"/>
  <c r="O16" i="43" s="1"/>
  <c r="O17" i="43" s="1"/>
  <c r="O18" i="43" s="1"/>
  <c r="O19" i="43" s="1"/>
  <c r="O20" i="43" s="1"/>
  <c r="O21" i="43" s="1"/>
  <c r="M13" i="43"/>
  <c r="M14" i="43" s="1"/>
  <c r="M15" i="43" s="1"/>
  <c r="M16" i="43" s="1"/>
  <c r="M17" i="43" s="1"/>
  <c r="M18" i="43" s="1"/>
  <c r="M19" i="43" s="1"/>
  <c r="M20" i="43" s="1"/>
  <c r="M21" i="43" s="1"/>
  <c r="M7" i="44"/>
  <c r="M25" i="44" s="1"/>
  <c r="F63" i="44"/>
  <c r="F64" i="44" s="1"/>
  <c r="K64" i="44" s="1"/>
  <c r="K30" i="44"/>
  <c r="N7" i="44"/>
  <c r="N25" i="44" s="1"/>
  <c r="N27" i="44" s="1"/>
  <c r="K25" i="44"/>
  <c r="O7" i="44"/>
  <c r="O25" i="44" s="1"/>
  <c r="O27" i="44" s="1"/>
  <c r="K23" i="44"/>
  <c r="K21" i="44"/>
  <c r="P7" i="44"/>
  <c r="P25" i="44" s="1"/>
  <c r="P27" i="44" s="1"/>
  <c r="K19" i="44"/>
  <c r="M10" i="44"/>
  <c r="M12" i="44" s="1"/>
  <c r="M27" i="44"/>
  <c r="O22" i="44"/>
  <c r="P10" i="44"/>
  <c r="P12" i="44" s="1"/>
  <c r="N22" i="44"/>
  <c r="N10" i="44" l="1"/>
  <c r="N12" i="44" s="1"/>
  <c r="M13" i="44"/>
  <c r="M14" i="44" s="1"/>
  <c r="M15" i="44" s="1"/>
  <c r="M16" i="44" s="1"/>
  <c r="M17" i="44" s="1"/>
  <c r="M18" i="44" s="1"/>
  <c r="M19" i="44" s="1"/>
  <c r="M20" i="44" s="1"/>
  <c r="M21" i="44" s="1"/>
  <c r="N13" i="44"/>
  <c r="N14" i="44" s="1"/>
  <c r="N15" i="44" s="1"/>
  <c r="N16" i="44" s="1"/>
  <c r="N17" i="44" s="1"/>
  <c r="N18" i="44" s="1"/>
  <c r="N19" i="44" s="1"/>
  <c r="N20" i="44" s="1"/>
  <c r="N21" i="44" s="1"/>
  <c r="S22" i="78"/>
  <c r="Q21" i="78"/>
  <c r="S22" i="64"/>
  <c r="Q21" i="64"/>
  <c r="R21" i="73"/>
  <c r="D7" i="3"/>
  <c r="J7" i="3" s="1"/>
  <c r="L7" i="3" s="1"/>
  <c r="K7" i="3" s="1"/>
  <c r="G27" i="1"/>
  <c r="Q27" i="1" s="1"/>
  <c r="R27" i="1" s="1"/>
  <c r="Q32" i="1"/>
  <c r="R32" i="1" s="1"/>
  <c r="D6" i="3"/>
  <c r="J6" i="3" s="1"/>
  <c r="R21" i="72"/>
  <c r="G26" i="1"/>
  <c r="Q26" i="1" s="1"/>
  <c r="R26" i="1" s="1"/>
  <c r="E6" i="23"/>
  <c r="D6" i="23" s="1"/>
  <c r="N24" i="43"/>
  <c r="O24" i="43"/>
  <c r="P24" i="43"/>
  <c r="M24" i="43"/>
  <c r="O10" i="44"/>
  <c r="O12" i="44" s="1"/>
  <c r="P13" i="44"/>
  <c r="P14" i="44" s="1"/>
  <c r="P15" i="44" s="1"/>
  <c r="P16" i="44" s="1"/>
  <c r="P17" i="44" s="1"/>
  <c r="P18" i="44" s="1"/>
  <c r="P19" i="44" s="1"/>
  <c r="P20" i="44" s="1"/>
  <c r="P21" i="44" s="1"/>
  <c r="N24" i="44" l="1"/>
  <c r="S21" i="64"/>
  <c r="F30" i="1"/>
  <c r="C10" i="3"/>
  <c r="J10" i="3" s="1"/>
  <c r="L10" i="3" s="1"/>
  <c r="K10" i="3" s="1"/>
  <c r="P24" i="44"/>
  <c r="S21" i="78"/>
  <c r="M30" i="1"/>
  <c r="C9" i="23"/>
  <c r="E9" i="23" s="1"/>
  <c r="D9" i="23" s="1"/>
  <c r="M24" i="44"/>
  <c r="O13" i="44"/>
  <c r="O14" i="44" s="1"/>
  <c r="O15" i="44" s="1"/>
  <c r="O16" i="44" s="1"/>
  <c r="O17" i="44" s="1"/>
  <c r="O18" i="44" s="1"/>
  <c r="O19" i="44" s="1"/>
  <c r="O20" i="44" s="1"/>
  <c r="O21" i="44" s="1"/>
  <c r="O24" i="44" s="1"/>
  <c r="L6" i="3"/>
  <c r="J18" i="3"/>
  <c r="Q30" i="1" l="1"/>
  <c r="R30" i="1" s="1"/>
  <c r="L18" i="3"/>
  <c r="K6" i="3"/>
  <c r="K18"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<sst xmlns="http://schemas.openxmlformats.org/spreadsheetml/2006/main" count="5966" uniqueCount="657">
  <si>
    <t>Inhaltsverzeichnis</t>
  </si>
  <si>
    <t>1.00</t>
  </si>
  <si>
    <t>Produktiver Stundenlohn</t>
  </si>
  <si>
    <t>%</t>
  </si>
  <si>
    <t>€</t>
  </si>
  <si>
    <t>2.00</t>
  </si>
  <si>
    <t>Lohngebundene Kosten</t>
  </si>
  <si>
    <t>2.10</t>
  </si>
  <si>
    <t>Soziallöhne</t>
  </si>
  <si>
    <t>2.11</t>
  </si>
  <si>
    <t>Gesetzliche Feiertage</t>
  </si>
  <si>
    <t>2.12</t>
  </si>
  <si>
    <t>Urlaubsentgelt</t>
  </si>
  <si>
    <t>2.13</t>
  </si>
  <si>
    <t>Zusätzliches Urlaubsentgelt</t>
  </si>
  <si>
    <t>2.14</t>
  </si>
  <si>
    <t>Lohnfortzahlung im Krankheitsfall</t>
  </si>
  <si>
    <t>2.15</t>
  </si>
  <si>
    <t>Arbeitsfreistellung</t>
  </si>
  <si>
    <t>Zwischensumme Soziallöhne</t>
  </si>
  <si>
    <t>2.20</t>
  </si>
  <si>
    <t>Sozialversicherungsbeiträge auf Fertigungslohn und Soziallöhne (Arbeitgeberanteil)</t>
  </si>
  <si>
    <t>2.21</t>
  </si>
  <si>
    <t>Krankenversicherung auf Soziallöhne</t>
  </si>
  <si>
    <t>2.22</t>
  </si>
  <si>
    <t>Rentenversicherung auf Soziallöhne</t>
  </si>
  <si>
    <t>2.23</t>
  </si>
  <si>
    <t>Arbeitslosenversicherung auf Soziallöhne</t>
  </si>
  <si>
    <t>2.24</t>
  </si>
  <si>
    <t>Pflegeversicherung auf Soziallöhne</t>
  </si>
  <si>
    <t>2.25</t>
  </si>
  <si>
    <t>U2 Mutterschaftsaufwendungen auf Soziallöhne</t>
  </si>
  <si>
    <t>2.30</t>
  </si>
  <si>
    <t>2.31</t>
  </si>
  <si>
    <t>Zwischensumme Lohnkosten inkl. Sozialabgaben (Summe 2.10 - 2.31)</t>
  </si>
  <si>
    <t>Zusätzliche lohngebundene Kosten</t>
  </si>
  <si>
    <t>2.50</t>
  </si>
  <si>
    <t>Haftpflichtversicherung</t>
  </si>
  <si>
    <t>2.60</t>
  </si>
  <si>
    <t>Sonstige Personalkosten</t>
  </si>
  <si>
    <t>Summe lohngebundene Kosten (Summe 2.10 - 2.60)</t>
  </si>
  <si>
    <t>3.00</t>
  </si>
  <si>
    <t>Sonstige auftragsbezogene Kosten</t>
  </si>
  <si>
    <t>3.10</t>
  </si>
  <si>
    <t>Aufsichtslohn Vorarbeiter</t>
  </si>
  <si>
    <t>inkl. Soziale Folgekosten f. Aufsichtslohn</t>
  </si>
  <si>
    <t>3.20</t>
  </si>
  <si>
    <t>Fahrkostenzuschuss</t>
  </si>
  <si>
    <t>3.30</t>
  </si>
  <si>
    <t>Fertigungsmaterial; Maschinen, Geräte, AfA, etc.</t>
  </si>
  <si>
    <t>3.40</t>
  </si>
  <si>
    <t>Sondereinzelkosten</t>
  </si>
  <si>
    <t>Zwischensumme sonstige auftragsbezogene Kosten (Summe 3.10 - 3.40)</t>
  </si>
  <si>
    <t>4.00</t>
  </si>
  <si>
    <t>Unternehmensbezogene Kosten</t>
  </si>
  <si>
    <t>4.10</t>
  </si>
  <si>
    <t>Gehälter</t>
  </si>
  <si>
    <t>4.11</t>
  </si>
  <si>
    <t>Technische Angestellte, inkl. Lohnfolgekosten</t>
  </si>
  <si>
    <t>4.12</t>
  </si>
  <si>
    <t>4.20</t>
  </si>
  <si>
    <t>Fuhrparkkosten</t>
  </si>
  <si>
    <t>4.30</t>
  </si>
  <si>
    <t>Fertigungshilfskosten</t>
  </si>
  <si>
    <t>4.31</t>
  </si>
  <si>
    <t>Löhne Hilfsdienste, inkl. Lohnfolgekosten</t>
  </si>
  <si>
    <t>4.32</t>
  </si>
  <si>
    <t>Sonstige Betriebskosten</t>
  </si>
  <si>
    <t>4.40</t>
  </si>
  <si>
    <t>Schwerbehindertenabgabe</t>
  </si>
  <si>
    <t>4.50</t>
  </si>
  <si>
    <t>Sonstige Verwaltungskosten</t>
  </si>
  <si>
    <t>4.60</t>
  </si>
  <si>
    <t>Betriebsratskosten</t>
  </si>
  <si>
    <t>4.70</t>
  </si>
  <si>
    <t>Sonstige Kosten (Verbandsbeiträge, Zertifizierung etc.)</t>
  </si>
  <si>
    <t>4.80</t>
  </si>
  <si>
    <t>Gewerbesteuer</t>
  </si>
  <si>
    <t>Zwischensumme unternehmensbezogene Kosten (Summe 4.10 - 4.80)</t>
  </si>
  <si>
    <t>5.00</t>
  </si>
  <si>
    <t>Selbstkosten (Summe 1.00 - 4.80)</t>
  </si>
  <si>
    <t>6.00</t>
  </si>
  <si>
    <t>Zuschlag für Wagnis + Gewinn auf Selbstkosten</t>
  </si>
  <si>
    <t>Stundenverrechnungssatz Normalstunde</t>
  </si>
  <si>
    <t>Kalkulationszuschlag (Pos 6 - Pos 1)</t>
  </si>
  <si>
    <t>Basisdaten</t>
  </si>
  <si>
    <t>Anzahl Tage</t>
  </si>
  <si>
    <t>durchschnittliche Urlaubstage</t>
  </si>
  <si>
    <t>durchschnittliche Krankheitstage</t>
  </si>
  <si>
    <t>bezahlte Freistellungen</t>
  </si>
  <si>
    <t>Feiertage</t>
  </si>
  <si>
    <t>Bieter</t>
  </si>
  <si>
    <t>lfd. Nr.</t>
  </si>
  <si>
    <t>Etage</t>
  </si>
  <si>
    <t>Bereich</t>
  </si>
  <si>
    <t>Bodenart</t>
  </si>
  <si>
    <t>Objektname</t>
  </si>
  <si>
    <t>Raum-
nummer</t>
  </si>
  <si>
    <t>Raumbe-
zeichnung</t>
  </si>
  <si>
    <t>Reinigungs-
gruppe</t>
  </si>
  <si>
    <t>Zurück zum Inhaltsverzeichnis</t>
  </si>
  <si>
    <t>Zuschlag öffentliche Bedürfnisanstalt</t>
  </si>
  <si>
    <t>Kalkulation des Stundenverrechnungssatzes Unterhaltsreinigung öffentl. WC</t>
  </si>
  <si>
    <t>Kalkulation des Stundenverrechnungssatzes Grundreinigung</t>
  </si>
  <si>
    <t>Kalkulation des Stundenverrechnungssatzes Unterhaltsreinigung</t>
  </si>
  <si>
    <t>Bieter:</t>
  </si>
  <si>
    <t>Reini-
gungs-
intervall</t>
  </si>
  <si>
    <t>Leistungs-
werte 
(m²/h)</t>
  </si>
  <si>
    <t>aufge-
legter 
Teppich</t>
  </si>
  <si>
    <t>Anzahl 
Schmutz-
fang</t>
  </si>
  <si>
    <t>Reini-
gungs-
tage / Jahr</t>
  </si>
  <si>
    <t>Reinigungs-
fläche / Jahr 
(m²)</t>
  </si>
  <si>
    <t>SVS
(€/h)</t>
  </si>
  <si>
    <t>Reinigungs-
stunden / 
Jahr</t>
  </si>
  <si>
    <t>Preis / Jahr 
(€)</t>
  </si>
  <si>
    <t>Objekt</t>
  </si>
  <si>
    <t>Reinigungs-art</t>
  </si>
  <si>
    <t>Steiger-kosten (€)</t>
  </si>
  <si>
    <t>Leistung (m²/h)</t>
  </si>
  <si>
    <t>SVS
 (€/h)</t>
  </si>
  <si>
    <t>Netto-Preis / Jahr (€)</t>
  </si>
  <si>
    <t>Reinigungs-
fläche 
(m²)</t>
  </si>
  <si>
    <t>Reinigungsart</t>
  </si>
  <si>
    <t>Tausch-
tage/Jahr</t>
  </si>
  <si>
    <t>Die gesetzliche Unfallversicherung richtet sich nach der Gefahrenklasse, die für den Betrieb gilt.</t>
  </si>
  <si>
    <t>Gesamt</t>
  </si>
  <si>
    <t>Kaufmännische Angestellte, inkl. Lohnfolgekosten</t>
  </si>
  <si>
    <r>
      <t>Krankenversicherung auf Produktivlohn</t>
    </r>
    <r>
      <rPr>
        <vertAlign val="superscript"/>
        <sz val="8"/>
        <rFont val="Verdana"/>
        <family val="2"/>
      </rPr>
      <t>1</t>
    </r>
  </si>
  <si>
    <r>
      <t>Rentenversicherung auf Produktivlohn</t>
    </r>
    <r>
      <rPr>
        <vertAlign val="superscript"/>
        <sz val="8"/>
        <rFont val="Verdana"/>
        <family val="2"/>
      </rPr>
      <t>2</t>
    </r>
  </si>
  <si>
    <r>
      <t>Arbeitslosenversicherung auf Produktivlohn</t>
    </r>
    <r>
      <rPr>
        <vertAlign val="superscript"/>
        <sz val="8"/>
        <rFont val="Verdana"/>
        <family val="2"/>
      </rPr>
      <t>3</t>
    </r>
  </si>
  <si>
    <r>
      <t>Pflegeversicherung auf Produktivlohn</t>
    </r>
    <r>
      <rPr>
        <vertAlign val="superscript"/>
        <sz val="8"/>
        <rFont val="Verdana"/>
        <family val="2"/>
      </rPr>
      <t>4</t>
    </r>
  </si>
  <si>
    <r>
      <t>U2 Mutterschaftsaufwendungen auf Produktivlohn</t>
    </r>
    <r>
      <rPr>
        <vertAlign val="superscript"/>
        <sz val="8"/>
        <rFont val="Verdana"/>
        <family val="2"/>
      </rPr>
      <t>5</t>
    </r>
  </si>
  <si>
    <r>
      <t>Gesetzliche Unfallversicherung</t>
    </r>
    <r>
      <rPr>
        <vertAlign val="superscript"/>
        <sz val="8"/>
        <rFont val="Verdana"/>
        <family val="2"/>
      </rPr>
      <t>6</t>
    </r>
  </si>
  <si>
    <r>
      <t>Insolvenzgeldumlage</t>
    </r>
    <r>
      <rPr>
        <vertAlign val="superscript"/>
        <sz val="8"/>
        <rFont val="Verdana"/>
        <family val="2"/>
      </rPr>
      <t>7</t>
    </r>
  </si>
  <si>
    <t xml:space="preserve">Krankenversicherung (gesetzlicher Arbeitgeberanteil): </t>
  </si>
  <si>
    <t xml:space="preserve">Rentenversicherung (gesetzlicher Arbeitgeberanteil): </t>
  </si>
  <si>
    <t xml:space="preserve">Arbeitslosenversicherung (gesetzlicher Arbeitgeberanteil): </t>
  </si>
  <si>
    <t xml:space="preserve">Pflegeversicherung (gesetzlicher Arbeitgeberanteil alle Bundesländer außer Sachsen: hier 0,5% Abzug): </t>
  </si>
  <si>
    <t>Insolvenzgeldumlage (gesetzlicher Arbeitgeberanteil - trägt der Arbeitgeber allein):</t>
  </si>
  <si>
    <t>Bundesland</t>
  </si>
  <si>
    <t>Preis für eine Reinigung 
(€)</t>
  </si>
  <si>
    <t>Reini-gungen / Jahr</t>
  </si>
  <si>
    <t>Zuschlag in Prozent</t>
  </si>
  <si>
    <t>Beitragsfreiheit in Prozent des Produktivlohns</t>
  </si>
  <si>
    <t>Nachtzu-schlag</t>
  </si>
  <si>
    <t>Zuschlag</t>
  </si>
  <si>
    <t>davon Beitragsfrei</t>
  </si>
  <si>
    <t>davon zu berücksichtigende Zuschläge für Beitragsberechnung</t>
  </si>
  <si>
    <t>Krankenversicherung auf Produktivlohn</t>
  </si>
  <si>
    <t>Rentenversicherung auf Produktivlohn</t>
  </si>
  <si>
    <t>Arbeitslosenversicherung auf Produktivlohn</t>
  </si>
  <si>
    <t>Pflegeversicherung auf Produktivlohn</t>
  </si>
  <si>
    <t>U2 Mutterschaftsaufwendungen auf Produktivlohn</t>
  </si>
  <si>
    <t>Gesetz. Unfallvers. Beitrag auf vollen Zuschlag</t>
  </si>
  <si>
    <t>Zuschläge</t>
  </si>
  <si>
    <t>Zuschläge inklusive Beiträge</t>
  </si>
  <si>
    <t>Zuschlag + Stundenverrechnungssatz Normalstunde</t>
  </si>
  <si>
    <t>Zuschlag 25.12., 26.12. und 01.05.</t>
  </si>
  <si>
    <t>Glasfläche
(einseitig gemessen) (m²)</t>
  </si>
  <si>
    <t>Diese Position wird von jeder Krankenkasse separat berechnet.</t>
  </si>
  <si>
    <t>Produktivlohn</t>
  </si>
  <si>
    <t>M2</t>
  </si>
  <si>
    <t>M1</t>
  </si>
  <si>
    <t>J6</t>
  </si>
  <si>
    <t>J5</t>
  </si>
  <si>
    <t>J4</t>
  </si>
  <si>
    <t>J3</t>
  </si>
  <si>
    <t>J2</t>
  </si>
  <si>
    <t>J1</t>
  </si>
  <si>
    <t>J0,5</t>
  </si>
  <si>
    <t>Objektart</t>
  </si>
  <si>
    <t>nB</t>
  </si>
  <si>
    <t>Reinigungs-intervall</t>
  </si>
  <si>
    <t>Anzahl
Glasflächen
(Multiplikator)</t>
  </si>
  <si>
    <t>Reinigungstage</t>
  </si>
  <si>
    <t>Nettopreis</t>
  </si>
  <si>
    <t>Bruttopreis</t>
  </si>
  <si>
    <t>Kalkulation</t>
  </si>
  <si>
    <t>Unterhaltsreinigung</t>
  </si>
  <si>
    <t>Straße</t>
  </si>
  <si>
    <t>PLZ</t>
  </si>
  <si>
    <t>Ort</t>
  </si>
  <si>
    <t xml:space="preserve">Leistungs-werte 
(m²/h) </t>
  </si>
  <si>
    <t>Jahres- 
reinigungs-
fläche (m²)</t>
  </si>
  <si>
    <t>Lage</t>
  </si>
  <si>
    <t>Grundreinigung</t>
  </si>
  <si>
    <t>Vertragsbeginn</t>
  </si>
  <si>
    <t>Vertragsende</t>
  </si>
  <si>
    <t>Verlängerung</t>
  </si>
  <si>
    <t>max. Laufzeit bis</t>
  </si>
  <si>
    <t>Reinigungs-gruppe 
(RG)</t>
  </si>
  <si>
    <t>Unternehmen</t>
  </si>
  <si>
    <t>Telefon</t>
  </si>
  <si>
    <t>Fax</t>
  </si>
  <si>
    <t>Ansprechpartner</t>
  </si>
  <si>
    <t>E-Mailadresse</t>
  </si>
  <si>
    <t>Internetadresse</t>
  </si>
  <si>
    <t>Kurzname</t>
  </si>
  <si>
    <t>Gebäude</t>
  </si>
  <si>
    <t>Gebäudeteil</t>
  </si>
  <si>
    <t>Los</t>
  </si>
  <si>
    <t>Stunden für eine Reinigung (h)</t>
  </si>
  <si>
    <t>Anzahl 
der Räume</t>
  </si>
  <si>
    <r>
      <rPr>
        <b/>
        <sz val="8"/>
        <rFont val="Verdana"/>
        <family val="2"/>
      </rPr>
      <t>Reinigungstage</t>
    </r>
    <r>
      <rPr>
        <sz val="8"/>
        <rFont val="Verdana"/>
        <family val="2"/>
      </rPr>
      <t xml:space="preserve"> pro Objekt und Reinigungsart</t>
    </r>
  </si>
  <si>
    <r>
      <rPr>
        <b/>
        <sz val="8"/>
        <rFont val="Verdana"/>
        <family val="2"/>
      </rPr>
      <t>Preisübersicht nach Bedarf</t>
    </r>
    <r>
      <rPr>
        <sz val="8"/>
        <rFont val="Verdana"/>
        <family val="2"/>
      </rPr>
      <t xml:space="preserve"> pro Jahr (in €)</t>
    </r>
  </si>
  <si>
    <r>
      <rPr>
        <b/>
        <sz val="8"/>
        <rFont val="Verdana"/>
        <family val="2"/>
      </rPr>
      <t>Preisübersicht</t>
    </r>
    <r>
      <rPr>
        <sz val="8"/>
        <rFont val="Verdana"/>
        <family val="2"/>
      </rPr>
      <t xml:space="preserve"> pro Jahr (in €)</t>
    </r>
  </si>
  <si>
    <r>
      <t xml:space="preserve">Kalkulation </t>
    </r>
    <r>
      <rPr>
        <b/>
        <sz val="8"/>
        <rFont val="Verdana"/>
        <family val="2"/>
      </rPr>
      <t>Rohrreinigung und Balken</t>
    </r>
    <r>
      <rPr>
        <sz val="8"/>
        <rFont val="Verdana"/>
        <family val="2"/>
      </rPr>
      <t xml:space="preserve"> (Grundreinigung)</t>
    </r>
  </si>
  <si>
    <t>Reinigungen/
Jahr</t>
  </si>
  <si>
    <t>Reinigungslänge/
Jahr
(lfm)</t>
  </si>
  <si>
    <t>Steiger-
kosten
(€)</t>
  </si>
  <si>
    <t>Leistung
(lfm/h)</t>
  </si>
  <si>
    <t>SVS 
(€/h)</t>
  </si>
  <si>
    <t>Netto-Preis/
Jahr 
(€)</t>
  </si>
  <si>
    <t>Reinigungs-
intervall</t>
  </si>
  <si>
    <t>Anzahl der Matten
(Stück)</t>
  </si>
  <si>
    <t>Größe</t>
  </si>
  <si>
    <t>Fläche
(m²)</t>
  </si>
  <si>
    <t>Preis pro Tausch
(€)</t>
  </si>
  <si>
    <t>Netto-Preis / Jahr
(€)</t>
  </si>
  <si>
    <t>Länge 
(cm)</t>
  </si>
  <si>
    <t>Breite 
(cm)</t>
  </si>
  <si>
    <r>
      <t xml:space="preserve">Kalkulation </t>
    </r>
    <r>
      <rPr>
        <b/>
        <sz val="8"/>
        <rFont val="Verdana"/>
        <family val="2"/>
      </rPr>
      <t xml:space="preserve">Sonstiges </t>
    </r>
    <r>
      <rPr>
        <sz val="8"/>
        <rFont val="Verdana"/>
        <family val="2"/>
      </rPr>
      <t>(Grundreinigung)</t>
    </r>
  </si>
  <si>
    <t>Reinigung von</t>
  </si>
  <si>
    <t>Anzahl
(Stück)</t>
  </si>
  <si>
    <t>Länge
(lfm)</t>
  </si>
  <si>
    <t>Reinigungsanzahl/
Jahr
(Stück)</t>
  </si>
  <si>
    <t>Leistung
(Stück/h)</t>
  </si>
  <si>
    <t>maximale Reinigungstage
im Jahr für
Reinigungsintervall 5</t>
  </si>
  <si>
    <t>Reinigungsintervall</t>
  </si>
  <si>
    <t>Ausfüllhinweise 
(nur 1 Häkchen setzen):</t>
  </si>
  <si>
    <t/>
  </si>
  <si>
    <r>
      <t xml:space="preserve">Vorgaben
</t>
    </r>
    <r>
      <rPr>
        <sz val="8"/>
        <rFont val="Verdana"/>
        <family val="2"/>
      </rPr>
      <t>Die Vorgaben bei den Sozialversicherungsbeiträgen entsprechen den gesetzlichen Mindestangaben.</t>
    </r>
  </si>
  <si>
    <t>Sonn- und Feiertags-zuschlag</t>
  </si>
  <si>
    <t>Zuschlag Neujahr</t>
  </si>
  <si>
    <t>Länge 
(lfm)</t>
  </si>
  <si>
    <t>Reinigungsfläche/ Jahr
(m²)</t>
  </si>
  <si>
    <t>Leistung
(m²/h)</t>
  </si>
  <si>
    <r>
      <t xml:space="preserve">Kalkulation </t>
    </r>
    <r>
      <rPr>
        <b/>
        <sz val="8"/>
        <rFont val="Verdana"/>
        <family val="2"/>
      </rPr>
      <t>Pflegefilmsanierung</t>
    </r>
    <r>
      <rPr>
        <sz val="8"/>
        <rFont val="Verdana"/>
        <family val="2"/>
      </rPr>
      <t xml:space="preserve"> (nach Bedarf)</t>
    </r>
  </si>
  <si>
    <t>m²</t>
  </si>
  <si>
    <t>Netto-Preis
(€)</t>
  </si>
  <si>
    <t>Bemerkung</t>
  </si>
  <si>
    <t>Leistungswerte
(m²/h)</t>
  </si>
  <si>
    <t>2025
in %</t>
  </si>
  <si>
    <t>2025 
in %</t>
  </si>
  <si>
    <t>Bremmel TH</t>
  </si>
  <si>
    <t>Los 1</t>
  </si>
  <si>
    <t>Ernst-Bremmel-Halle</t>
  </si>
  <si>
    <t>Neudorfer Weg 1b</t>
  </si>
  <si>
    <t>06493</t>
  </si>
  <si>
    <t>Harzgerode</t>
  </si>
  <si>
    <t>Grundschule</t>
  </si>
  <si>
    <t>Weißer Garten 2</t>
  </si>
  <si>
    <t>Hallenbad</t>
  </si>
  <si>
    <t>Bergstadt 1</t>
  </si>
  <si>
    <t>Lehrschwimmbad</t>
  </si>
  <si>
    <t>Friederikenstraße</t>
  </si>
  <si>
    <t>öffentl WC</t>
  </si>
  <si>
    <t>öffentliche Toilette</t>
  </si>
  <si>
    <t>Schloßberg 3</t>
  </si>
  <si>
    <t>Rathaus</t>
  </si>
  <si>
    <t>Marktplatz 1</t>
  </si>
  <si>
    <t>Schloss Ost</t>
  </si>
  <si>
    <t>Schloss</t>
  </si>
  <si>
    <t>Ost</t>
  </si>
  <si>
    <t>Schloss West</t>
  </si>
  <si>
    <t>West</t>
  </si>
  <si>
    <t>SchlossWest RZ</t>
  </si>
  <si>
    <t>West - Regionalzentrum</t>
  </si>
  <si>
    <t>Stadtinfo</t>
  </si>
  <si>
    <t>Stadtinformation</t>
  </si>
  <si>
    <t>Verwaltung I</t>
  </si>
  <si>
    <t>Marktplatz 2</t>
  </si>
  <si>
    <t>Verwaltung II</t>
  </si>
  <si>
    <t>Marktplatz 7</t>
  </si>
  <si>
    <t>Unterhaltsreinigung (Ferien)</t>
  </si>
  <si>
    <t>Unterhaltsreinigung (nach Bedarf)</t>
  </si>
  <si>
    <t>EG</t>
  </si>
  <si>
    <t>Halle</t>
  </si>
  <si>
    <t>Sportlinoleum</t>
  </si>
  <si>
    <t>Prallschutz</t>
  </si>
  <si>
    <t>Holz</t>
  </si>
  <si>
    <t>Prallschutz Oberkante</t>
  </si>
  <si>
    <t>Geräteraum</t>
  </si>
  <si>
    <t>Eingang</t>
  </si>
  <si>
    <t>Granit</t>
  </si>
  <si>
    <t>ohne</t>
  </si>
  <si>
    <t>BMZ</t>
  </si>
  <si>
    <t>Linoleum</t>
  </si>
  <si>
    <t>Flur</t>
  </si>
  <si>
    <t>1</t>
  </si>
  <si>
    <t>Damen</t>
  </si>
  <si>
    <t>Umkleide</t>
  </si>
  <si>
    <t>Dusche</t>
  </si>
  <si>
    <t>Fliesen</t>
  </si>
  <si>
    <t>Waschraum</t>
  </si>
  <si>
    <t>WC</t>
  </si>
  <si>
    <t>WC Barrierefrei</t>
  </si>
  <si>
    <t>2</t>
  </si>
  <si>
    <t>Lehrer / Trainer</t>
  </si>
  <si>
    <t>WC / Dusche</t>
  </si>
  <si>
    <t>Regieraum</t>
  </si>
  <si>
    <t>Herren</t>
  </si>
  <si>
    <t>Hausanschluss</t>
  </si>
  <si>
    <t>Beton</t>
  </si>
  <si>
    <t>Putzmittelraum</t>
  </si>
  <si>
    <t>Estrich</t>
  </si>
  <si>
    <t>OG</t>
  </si>
  <si>
    <t>Aufwärmraum</t>
  </si>
  <si>
    <t>Brüstung</t>
  </si>
  <si>
    <t>Podest</t>
  </si>
  <si>
    <t>Treppe</t>
  </si>
  <si>
    <t>Sport</t>
  </si>
  <si>
    <t>Technik</t>
  </si>
  <si>
    <t>Verkehr</t>
  </si>
  <si>
    <t>Sanitär</t>
  </si>
  <si>
    <t>Funktion</t>
  </si>
  <si>
    <t>DG</t>
  </si>
  <si>
    <t>Altbau</t>
  </si>
  <si>
    <t>Fenster</t>
  </si>
  <si>
    <t>Ohne</t>
  </si>
  <si>
    <t>Klassenraum</t>
  </si>
  <si>
    <t>Förderraum</t>
  </si>
  <si>
    <t>2.08</t>
  </si>
  <si>
    <t>Flur (2.08)</t>
  </si>
  <si>
    <t>2.01</t>
  </si>
  <si>
    <t>Anbau</t>
  </si>
  <si>
    <t>Büro Hort</t>
  </si>
  <si>
    <t>Flur (2.04)</t>
  </si>
  <si>
    <t>2.04</t>
  </si>
  <si>
    <t>Gruppenraum Hort</t>
  </si>
  <si>
    <t>Textil</t>
  </si>
  <si>
    <t>2.05</t>
  </si>
  <si>
    <t>2.06</t>
  </si>
  <si>
    <t>Treppe (Putzmittelraum)</t>
  </si>
  <si>
    <t>Terrazzo</t>
  </si>
  <si>
    <t>Neubau</t>
  </si>
  <si>
    <t>Flur Übergang</t>
  </si>
  <si>
    <t>Klassenraum (Hort)</t>
  </si>
  <si>
    <t>Entspannungsraum</t>
  </si>
  <si>
    <t>Lager</t>
  </si>
  <si>
    <t>Lehrerzimmer</t>
  </si>
  <si>
    <t>2.18</t>
  </si>
  <si>
    <t>2,17</t>
  </si>
  <si>
    <t>PC</t>
  </si>
  <si>
    <t>1.32</t>
  </si>
  <si>
    <t>1.31</t>
  </si>
  <si>
    <t>1.30</t>
  </si>
  <si>
    <t>1.28</t>
  </si>
  <si>
    <t>1.29</t>
  </si>
  <si>
    <t>1.25</t>
  </si>
  <si>
    <t>1.24</t>
  </si>
  <si>
    <t>Flur (1.24)</t>
  </si>
  <si>
    <t>1.23</t>
  </si>
  <si>
    <t>1.22</t>
  </si>
  <si>
    <t>1.21</t>
  </si>
  <si>
    <t>Schulsozialarbeiterin</t>
  </si>
  <si>
    <t>1.20</t>
  </si>
  <si>
    <t>Bibliothek</t>
  </si>
  <si>
    <t>1.18</t>
  </si>
  <si>
    <t>Flur (1.18)</t>
  </si>
  <si>
    <t>1.1</t>
  </si>
  <si>
    <t>Aufzug</t>
  </si>
  <si>
    <t>Noppenlinoleum</t>
  </si>
  <si>
    <t>1.10</t>
  </si>
  <si>
    <t>Speisesaal</t>
  </si>
  <si>
    <t>1.13</t>
  </si>
  <si>
    <t>Schülerküche</t>
  </si>
  <si>
    <t>1.9</t>
  </si>
  <si>
    <t>Bewegungsraum</t>
  </si>
  <si>
    <t>Sperrholz</t>
  </si>
  <si>
    <t>1.7</t>
  </si>
  <si>
    <t>Elternsprechzimmer</t>
  </si>
  <si>
    <t>1.6</t>
  </si>
  <si>
    <t>Schulleiter</t>
  </si>
  <si>
    <t>1.5</t>
  </si>
  <si>
    <t>Sekretariat</t>
  </si>
  <si>
    <t>Flur (Eingang)</t>
  </si>
  <si>
    <t>KG</t>
  </si>
  <si>
    <t>Flur (WC)</t>
  </si>
  <si>
    <t>Noppenfliesen</t>
  </si>
  <si>
    <t>WC Damen</t>
  </si>
  <si>
    <t>WC Herren</t>
  </si>
  <si>
    <t>WC Lehrer Herren</t>
  </si>
  <si>
    <t>WC Lehrer Damen</t>
  </si>
  <si>
    <t>0.28</t>
  </si>
  <si>
    <t>Lehrmittel</t>
  </si>
  <si>
    <t>Flur (0.28)</t>
  </si>
  <si>
    <t>Flur (0.10)</t>
  </si>
  <si>
    <t>0,10</t>
  </si>
  <si>
    <t>0.09</t>
  </si>
  <si>
    <t>Mitarbeiter</t>
  </si>
  <si>
    <t>0.03</t>
  </si>
  <si>
    <t>Archiv</t>
  </si>
  <si>
    <t>0.04</t>
  </si>
  <si>
    <t>Reinigungspersonal</t>
  </si>
  <si>
    <t>0.08</t>
  </si>
  <si>
    <t>Kreativraum</t>
  </si>
  <si>
    <t>0.05</t>
  </si>
  <si>
    <t>Nebenraum Werken</t>
  </si>
  <si>
    <t>0.06</t>
  </si>
  <si>
    <t>Werken</t>
  </si>
  <si>
    <t>Unterricht</t>
  </si>
  <si>
    <t>Büro</t>
  </si>
  <si>
    <t>Gruppe</t>
  </si>
  <si>
    <t>Versorgung</t>
  </si>
  <si>
    <t>Schwimmhalle</t>
  </si>
  <si>
    <t>Becken</t>
  </si>
  <si>
    <t>Wasser</t>
  </si>
  <si>
    <t>1. Hilfe</t>
  </si>
  <si>
    <t>SB0.01</t>
  </si>
  <si>
    <t>Windfang</t>
  </si>
  <si>
    <t>SB0.04</t>
  </si>
  <si>
    <t>Foyer</t>
  </si>
  <si>
    <t>SB0.03</t>
  </si>
  <si>
    <t>Kasse / Empfang</t>
  </si>
  <si>
    <t>Aufsicht / Erste Hilfe</t>
  </si>
  <si>
    <t>SB0.05</t>
  </si>
  <si>
    <t>Personal</t>
  </si>
  <si>
    <t>SB0.06</t>
  </si>
  <si>
    <t>SB0.07</t>
  </si>
  <si>
    <t>SB0.08</t>
  </si>
  <si>
    <t>Barrierefrei</t>
  </si>
  <si>
    <t>SB0.09</t>
  </si>
  <si>
    <t>SB0.10</t>
  </si>
  <si>
    <t>WC Besucher</t>
  </si>
  <si>
    <t>SB0.11</t>
  </si>
  <si>
    <t>SB0.12</t>
  </si>
  <si>
    <t>Beschichtung</t>
  </si>
  <si>
    <t>SB0.13</t>
  </si>
  <si>
    <t>SB0.14</t>
  </si>
  <si>
    <t>Elt.IT</t>
  </si>
  <si>
    <t>SB0.15</t>
  </si>
  <si>
    <t>Hausanschlussraum</t>
  </si>
  <si>
    <t>SB0.16</t>
  </si>
  <si>
    <t>Elt.-ELA</t>
  </si>
  <si>
    <t>SB0.17</t>
  </si>
  <si>
    <t>Elt.-BMA</t>
  </si>
  <si>
    <t>SB0.18</t>
  </si>
  <si>
    <t>Elt.-SiBe</t>
  </si>
  <si>
    <t>SB0.19</t>
  </si>
  <si>
    <t>Wechselkabinen</t>
  </si>
  <si>
    <t>SB0.20</t>
  </si>
  <si>
    <t>Schrankraum</t>
  </si>
  <si>
    <t>SB0.21</t>
  </si>
  <si>
    <t>Sammelumkleide</t>
  </si>
  <si>
    <t>SB0.22</t>
  </si>
  <si>
    <t>SB0.23</t>
  </si>
  <si>
    <t>Abstellraum</t>
  </si>
  <si>
    <t>SB0.24</t>
  </si>
  <si>
    <t>SB0.25</t>
  </si>
  <si>
    <t>SB0.26</t>
  </si>
  <si>
    <t>SB0.27</t>
  </si>
  <si>
    <t>SB0.28</t>
  </si>
  <si>
    <t>SB0.29</t>
  </si>
  <si>
    <t>SB0.30</t>
  </si>
  <si>
    <t>Schwimmbereich</t>
  </si>
  <si>
    <t>SB0.31</t>
  </si>
  <si>
    <t>Schwimmbecken</t>
  </si>
  <si>
    <t>SB0.32</t>
  </si>
  <si>
    <t>SB0.33</t>
  </si>
  <si>
    <t>Ruhezone</t>
  </si>
  <si>
    <t>SB0.34</t>
  </si>
  <si>
    <t>Filtertanks</t>
  </si>
  <si>
    <t>SB0.35</t>
  </si>
  <si>
    <t>Chlorgasraum</t>
  </si>
  <si>
    <t>SB0.36</t>
  </si>
  <si>
    <t>Chemieraum</t>
  </si>
  <si>
    <t>SB0.37</t>
  </si>
  <si>
    <t>Treppenhaus</t>
  </si>
  <si>
    <t>Anstrich</t>
  </si>
  <si>
    <t>SB1.01</t>
  </si>
  <si>
    <t>EZ</t>
  </si>
  <si>
    <t>SB1.02</t>
  </si>
  <si>
    <t>Lüftungszentrale</t>
  </si>
  <si>
    <t>SB-1.04</t>
  </si>
  <si>
    <t>UG</t>
  </si>
  <si>
    <t>Feinsteinzeug</t>
  </si>
  <si>
    <t>Teeküche</t>
  </si>
  <si>
    <t>220</t>
  </si>
  <si>
    <t>EDV</t>
  </si>
  <si>
    <t>Holzdielen</t>
  </si>
  <si>
    <t>Turm</t>
  </si>
  <si>
    <t>221</t>
  </si>
  <si>
    <t>222</t>
  </si>
  <si>
    <t>Kleiner Sitzungssaal</t>
  </si>
  <si>
    <t>223</t>
  </si>
  <si>
    <t>110</t>
  </si>
  <si>
    <t>111</t>
  </si>
  <si>
    <t>Archiv Vollstreckung</t>
  </si>
  <si>
    <t>109</t>
  </si>
  <si>
    <t>108</t>
  </si>
  <si>
    <t>Laminat</t>
  </si>
  <si>
    <t>107</t>
  </si>
  <si>
    <t>Trauzimmer</t>
  </si>
  <si>
    <t>106</t>
  </si>
  <si>
    <t>Parkett</t>
  </si>
  <si>
    <t>Kopierraum</t>
  </si>
  <si>
    <t>108 u 106</t>
  </si>
  <si>
    <t>001</t>
  </si>
  <si>
    <t>Sitzungsdienst</t>
  </si>
  <si>
    <t>Bürgermeister</t>
  </si>
  <si>
    <t>002</t>
  </si>
  <si>
    <t>Beratungszimmer 1</t>
  </si>
  <si>
    <t>004</t>
  </si>
  <si>
    <t>Ortsbürgermeister</t>
  </si>
  <si>
    <t>003</t>
  </si>
  <si>
    <t>005</t>
  </si>
  <si>
    <t>Hinten</t>
  </si>
  <si>
    <t>außen</t>
  </si>
  <si>
    <t>Turmzimer</t>
  </si>
  <si>
    <t>Stein</t>
  </si>
  <si>
    <t>Nordwehrgang</t>
  </si>
  <si>
    <t>Spaltklinker</t>
  </si>
  <si>
    <t>Klinker</t>
  </si>
  <si>
    <t>Kaminzimmer</t>
  </si>
  <si>
    <t>Ausstellung (Alexisbadzimmer)</t>
  </si>
  <si>
    <t>Saal</t>
  </si>
  <si>
    <t>Stapelraum</t>
  </si>
  <si>
    <t>Tür</t>
  </si>
  <si>
    <t>Wendeltreppe</t>
  </si>
  <si>
    <t>Bibliothek Hinterraum</t>
  </si>
  <si>
    <t>Bibliothek Mittelraum</t>
  </si>
  <si>
    <t>Bibliothek Vorraum</t>
  </si>
  <si>
    <t>Heimatstube Süd</t>
  </si>
  <si>
    <t>Türfassung</t>
  </si>
  <si>
    <t>Heimatstube Nord</t>
  </si>
  <si>
    <t>Wehrg</t>
  </si>
  <si>
    <t>Westwehrgang</t>
  </si>
  <si>
    <t>Treppe Stadtinfo</t>
  </si>
  <si>
    <t>Kreativraum 1</t>
  </si>
  <si>
    <t>Kreativraum 2</t>
  </si>
  <si>
    <t>Kreativraum 3</t>
  </si>
  <si>
    <t>Flur TH 1</t>
  </si>
  <si>
    <t>Flur TH 2</t>
  </si>
  <si>
    <t>Treppe TH 2</t>
  </si>
  <si>
    <t>Treppe TH 1</t>
  </si>
  <si>
    <t>Fluchtflur</t>
  </si>
  <si>
    <t>Naturstein Schiefer</t>
  </si>
  <si>
    <t>Schwarze Küche</t>
  </si>
  <si>
    <t>118</t>
  </si>
  <si>
    <t>Kämmerei</t>
  </si>
  <si>
    <t>117</t>
  </si>
  <si>
    <t>116</t>
  </si>
  <si>
    <t>Steuern</t>
  </si>
  <si>
    <t>115</t>
  </si>
  <si>
    <t>Kassenleiter</t>
  </si>
  <si>
    <t>114</t>
  </si>
  <si>
    <t>Geschäftsbuchhaltung</t>
  </si>
  <si>
    <t>113</t>
  </si>
  <si>
    <t>112</t>
  </si>
  <si>
    <t>Vollstreckung</t>
  </si>
  <si>
    <t>119</t>
  </si>
  <si>
    <t>Hauptkasse</t>
  </si>
  <si>
    <t>Betonstein</t>
  </si>
  <si>
    <t>Bürgerbüro</t>
  </si>
  <si>
    <t>Dienstlich</t>
  </si>
  <si>
    <t>Öffentlich</t>
  </si>
  <si>
    <t>Einwohnermeldeamt</t>
  </si>
  <si>
    <t>Küche</t>
  </si>
  <si>
    <t>fest</t>
  </si>
  <si>
    <t>Sauberlaufmatte</t>
  </si>
  <si>
    <t>Aktenlager</t>
  </si>
  <si>
    <t>6</t>
  </si>
  <si>
    <t>5</t>
  </si>
  <si>
    <t>7</t>
  </si>
  <si>
    <t>8</t>
  </si>
  <si>
    <t>9</t>
  </si>
  <si>
    <t>10</t>
  </si>
  <si>
    <t>11</t>
  </si>
  <si>
    <t>Vorraum WC Damen</t>
  </si>
  <si>
    <t>Fahrstuhl</t>
  </si>
  <si>
    <t>Aufzugsmaschinenraum</t>
  </si>
  <si>
    <t>Betonfarbe</t>
  </si>
  <si>
    <t>Vorraum WC Herren</t>
  </si>
  <si>
    <t>04</t>
  </si>
  <si>
    <t>03</t>
  </si>
  <si>
    <t>Treppe Holz</t>
  </si>
  <si>
    <t>Rohrleitungen ca. 0,40 m</t>
  </si>
  <si>
    <t>Rohrleitungen ca. 0,13 m</t>
  </si>
  <si>
    <t>Balken</t>
  </si>
  <si>
    <t>Tausch
November - März</t>
  </si>
  <si>
    <t>Hartversiegelung</t>
  </si>
  <si>
    <t>Lampen ca. 0,50 x 0,50 m</t>
  </si>
  <si>
    <t>Lampen mit einem Durchmesser von ca. 0,40 m</t>
  </si>
  <si>
    <t>Lampen</t>
  </si>
  <si>
    <t>Lampen mit einem Durchmesser von ca. 0,50 m</t>
  </si>
  <si>
    <t>Lampen ca. 0,20x0,20 m</t>
  </si>
  <si>
    <t>Lampen ca. 0,60x0,60 m</t>
  </si>
  <si>
    <t>Lampen mit einem Durchmesser von ca. 0,20 m</t>
  </si>
  <si>
    <t>Lampensystem</t>
  </si>
  <si>
    <t>Verwaltung</t>
  </si>
  <si>
    <t>UnterhaltsRG</t>
  </si>
  <si>
    <t>Reinigungs-häufigkeit</t>
  </si>
  <si>
    <t>Schule</t>
  </si>
  <si>
    <t>Schwimmbad</t>
  </si>
  <si>
    <t>öffentliches WC</t>
  </si>
  <si>
    <t>GrundRG</t>
  </si>
  <si>
    <t>UnterhaltsRG (Ferien)</t>
  </si>
  <si>
    <t>UnterhaltsRG (nach Bedarf)</t>
  </si>
  <si>
    <t>Rohre u Balken</t>
  </si>
  <si>
    <t>Matten</t>
  </si>
  <si>
    <t>Pflegefilm (nach Bedarf)</t>
  </si>
  <si>
    <t>Sonstiges</t>
  </si>
  <si>
    <r>
      <t xml:space="preserve">Kalkulation </t>
    </r>
    <r>
      <rPr>
        <b/>
        <sz val="8"/>
        <rFont val="Verdana"/>
        <family val="2"/>
      </rPr>
      <t>Matten</t>
    </r>
  </si>
  <si>
    <t>Preiszusammenstellung Los 1</t>
  </si>
  <si>
    <t>Preiszusammenstellung nach Bedarf</t>
  </si>
  <si>
    <t>MwSt.</t>
  </si>
  <si>
    <t>Jahrespreis in €</t>
  </si>
  <si>
    <t>Jahrespreis Reinigung</t>
  </si>
  <si>
    <r>
      <t xml:space="preserve">Kalkulation </t>
    </r>
    <r>
      <rPr>
        <b/>
        <sz val="8"/>
        <rFont val="Verdana"/>
        <family val="2"/>
      </rPr>
      <t>Glasvitrinen und Aushang</t>
    </r>
    <r>
      <rPr>
        <sz val="8"/>
        <rFont val="Verdana"/>
        <family val="2"/>
      </rPr>
      <t xml:space="preserve"> (Unterhaltsreinigung) Gesamt</t>
    </r>
  </si>
  <si>
    <t>Reinigungs-
tage/Jahr</t>
  </si>
  <si>
    <t>Glasflächen / Jahr (m²)</t>
  </si>
  <si>
    <t>Glasvitrinen</t>
  </si>
  <si>
    <r>
      <t xml:space="preserve">Kalkulation </t>
    </r>
    <r>
      <rPr>
        <b/>
        <sz val="8"/>
        <rFont val="Verdana"/>
        <family val="2"/>
      </rPr>
      <t>Regiestunden</t>
    </r>
    <r>
      <rPr>
        <sz val="8"/>
        <rFont val="Verdana"/>
        <family val="2"/>
      </rPr>
      <t xml:space="preserve"> </t>
    </r>
    <r>
      <rPr>
        <b/>
        <sz val="8"/>
        <rFont val="Verdana"/>
        <family val="2"/>
      </rPr>
      <t>Prallschutz bei Veranstaltungen</t>
    </r>
  </si>
  <si>
    <t>Fläche in m²</t>
  </si>
  <si>
    <t>Steigerkosten (€)</t>
  </si>
  <si>
    <t>Netto-Preis (€)</t>
  </si>
  <si>
    <t>Prallschutzwand (Holz) (unter dem Aufwärmraum)</t>
  </si>
  <si>
    <t xml:space="preserve">Im Preisblatt ist eine Eingabe von Steigerkosten/Kosten für Hubbühne zwingend. </t>
  </si>
  <si>
    <t>Wenn keine Steigerkosten/Kosten für Hubbühne anfallen, ist die Position mit 0 eindeutig zu kennzeichnen.</t>
  </si>
  <si>
    <t>Eine unterlassene Angabe führt gemäß § 13 Nr. 3 VOL/A bzw. § 38 Abs. 10 UVgO bzw. § 53 Abs. 7 VgV zum Ausschluss.</t>
  </si>
  <si>
    <t>Auslösung bei Verschmutzung durch Veranstaltungen.</t>
  </si>
  <si>
    <r>
      <t xml:space="preserve">Kalkulation </t>
    </r>
    <r>
      <rPr>
        <b/>
        <sz val="8"/>
        <rFont val="Verdana"/>
        <family val="2"/>
      </rPr>
      <t>Regiestunden Trainingslager</t>
    </r>
  </si>
  <si>
    <t>Raumbezeichnung</t>
  </si>
  <si>
    <t>Alle zwei Jahre findet ein 14 tägiges Trainingslager Floorball statt, dann wird 1 zusätzliche Reinigung auf Basis von Regiestunden durchgeführt.</t>
  </si>
  <si>
    <t>An  ca. 8 Wochenenden finden Floor- und Fußball Turniere statt. Der Auftragnehmer wird 14 Tage vor der Veranstaltung über die genauen Zeiten und dem jeweiligen Nutzer informiert. Die Rechnungslegung erfolgt an den jeweiligen Nutzer.</t>
  </si>
  <si>
    <r>
      <t xml:space="preserve">Kalkulation </t>
    </r>
    <r>
      <rPr>
        <b/>
        <sz val="8"/>
        <rFont val="Verdana"/>
        <family val="2"/>
      </rPr>
      <t>Umkleidespinde</t>
    </r>
    <r>
      <rPr>
        <sz val="8"/>
        <rFont val="Verdana"/>
        <family val="2"/>
      </rPr>
      <t xml:space="preserve"> (Unterhaltsreinigung) Gesamt</t>
    </r>
  </si>
  <si>
    <t>Anzahl der Spinde</t>
  </si>
  <si>
    <t>Größe in cm
(Länge x Breite x Höhe)</t>
  </si>
  <si>
    <t>Leistung
(Spinde pro Stunde)</t>
  </si>
  <si>
    <t>30 x 50 x 170</t>
  </si>
  <si>
    <t>Aushang</t>
  </si>
  <si>
    <t>Glasvitrinen (nach Bedarf)</t>
  </si>
  <si>
    <t>Kalkulation des Stundenverrechnungssatzes Regiestunden Prallschutz</t>
  </si>
  <si>
    <t>Kalkulation des Stundenverrechnungssatzes Regiestunden Trainingslager</t>
  </si>
  <si>
    <t>Rohre u Balken (nach Bedarf)</t>
  </si>
  <si>
    <t>Umkleidespinde</t>
  </si>
  <si>
    <t>Preisübersicht</t>
  </si>
  <si>
    <t>Preisübersicht (nach Bedarf)</t>
  </si>
  <si>
    <t>SVS UnterhaltsRG</t>
  </si>
  <si>
    <t>SVS GrundRG</t>
  </si>
  <si>
    <t>SVS UnterhaltsRG öff WC</t>
  </si>
  <si>
    <t>Wertungspreis (netto) in €</t>
  </si>
  <si>
    <t>Wertungspreis (brutto) in €</t>
  </si>
  <si>
    <t>SVS Regiestunden Prallschutz</t>
  </si>
  <si>
    <t>Edelstahl</t>
  </si>
  <si>
    <t>SVS Regiestunden Trainingslager</t>
  </si>
  <si>
    <t>Sachsen-Anhalt</t>
  </si>
  <si>
    <t>Umkleide-
spinde</t>
  </si>
  <si>
    <t>Reinigung innen und außen</t>
  </si>
  <si>
    <t>West - Regional-
zentrum</t>
  </si>
  <si>
    <t>Reinigungstage 
 maximal
 (UnterhaltsRG,
 UnterhaltsRG (Ferien))</t>
  </si>
  <si>
    <t>Aufwärm-
raum</t>
  </si>
  <si>
    <t>Die Spalte Fläche (m²) setzt sich aus der Fläche einer Matte multipliziert mit der Anzahl der Matten zusammen.</t>
  </si>
  <si>
    <t>Der Preis pro Tausch (€) ist für die gesamte Fläche einzutragen und nicht für eine Matte.</t>
  </si>
  <si>
    <t>Kal Regie Prallschutz</t>
  </si>
  <si>
    <t>Kal Regie Trainingslager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</si>
</sst>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 _€_-;\-* #,##0.00\ _€_-;_-* &quot;-&quot;??\ _€_-;_-@_-"/>
    <numFmt numFmtId="165" formatCode="_-* #,##0.00\ [$€]_-;\-* #,##0.00\ [$€]_-;_-* &quot;-&quot;??\ [$€]_-;_-@_-"/>
    <numFmt numFmtId="166" formatCode="0.000"/>
    <numFmt numFmtId="167" formatCode="#,##0.000"/>
    <numFmt numFmtId="168" formatCode="#,##0_ ;\-#,##0\ "/>
    <numFmt numFmtId="169" formatCode="&quot;Bitte &quot;0&quot; Werte eintragen.&quot;"/>
    <numFmt numFmtId="170" formatCode="&quot;Bitte &quot;0&quot; Wert(e) eintragen.&quot;"/>
  </numFmts>
  <fonts count="50" x14ac:knownFonts="1">
    <font>
      <sz val="10"/>
      <name val="Arial"/>
    </font>
    <font>
      <sz val="8"/>
      <color theme="1"/>
      <name val="Verdana"/>
      <family val="2"/>
    </font>
    <font>
      <sz val="10"/>
      <name val="Arial"/>
      <family val="2"/>
    </font>
    <font>
      <sz val="10"/>
      <name val="Verdana"/>
      <family val="2"/>
    </font>
    <font>
      <sz val="8"/>
      <name val="Arial"/>
      <family val="2"/>
    </font>
    <font>
      <sz val="8"/>
      <name val="Verdana"/>
      <family val="2"/>
    </font>
    <font>
      <sz val="10"/>
      <name val="Arial"/>
      <family val="2"/>
    </font>
    <font>
      <i/>
      <sz val="8"/>
      <name val="Verdana"/>
      <family val="2"/>
    </font>
    <font>
      <u/>
      <sz val="10"/>
      <color indexed="12"/>
      <name val="Arial"/>
      <family val="2"/>
    </font>
    <font>
      <b/>
      <sz val="8"/>
      <name val="Verdana"/>
      <family val="2"/>
    </font>
    <font>
      <sz val="10"/>
      <name val="Arial"/>
      <family val="2"/>
    </font>
    <font>
      <u/>
      <sz val="8"/>
      <color indexed="12"/>
      <name val="Verdana"/>
      <family val="2"/>
    </font>
    <font>
      <b/>
      <sz val="18"/>
      <color indexed="56"/>
      <name val="Cambria"/>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0"/>
      <color indexed="12"/>
      <name val="Arial"/>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Verdana"/>
      <family val="2"/>
    </font>
    <font>
      <sz val="8"/>
      <color indexed="10"/>
      <name val="Verdana"/>
      <family val="2"/>
    </font>
    <font>
      <vertAlign val="superscript"/>
      <sz val="8"/>
      <name val="Verdana"/>
      <family val="2"/>
    </font>
    <font>
      <b/>
      <sz val="10"/>
      <name val="Verdana"/>
      <family val="2"/>
    </font>
    <font>
      <sz val="8"/>
      <color indexed="8"/>
      <name val="Verdana"/>
      <family val="2"/>
    </font>
    <font>
      <sz val="8"/>
      <color rgb="FFFF0000"/>
      <name val="Verdana"/>
      <family val="2"/>
    </font>
    <font>
      <sz val="11"/>
      <color rgb="FF222222"/>
      <name val="Verdana"/>
      <family val="2"/>
    </font>
    <font>
      <sz val="8"/>
      <color theme="0"/>
      <name val="Verdana"/>
      <family val="2"/>
    </font>
    <font>
      <u/>
      <sz val="10"/>
      <color theme="10"/>
      <name val="Verdana"/>
      <family val="2"/>
    </font>
    <font>
      <sz val="10"/>
      <color theme="1"/>
      <name val="Verdana"/>
      <family val="2"/>
    </font>
    <font>
      <sz val="8"/>
      <color theme="0" tint="-0.14999847407452621"/>
      <name val="Verdana"/>
      <family val="2"/>
    </font>
    <font>
      <sz val="8"/>
      <color rgb="FF000000"/>
      <name val="Segoe UI"/>
      <family val="2"/>
    </font>
    <font>
      <sz val="11"/>
      <color theme="1"/>
      <name val="Calibri"/>
      <family val="2"/>
      <scheme val="minor"/>
    </font>
    <font>
      <sz val="8"/>
      <color indexed="55"/>
      <name val="Verdana"/>
      <family val="2"/>
    </font>
    <font>
      <sz val="8"/>
      <color rgb="FF9C0000"/>
      <name val="Verdana"/>
      <family val="2"/>
    </font>
    <font>
      <b/>
      <sz val="8"/>
      <color theme="1"/>
      <name val="Verdana"/>
      <family val="2"/>
    </font>
    <font>
      <u/>
      <sz val="10"/>
      <color indexed="12"/>
      <name val="Verdana"/>
      <family val="2"/>
    </font>
    <font>
      <sz val="8"/>
      <color indexed="9"/>
      <name val="Verdana"/>
      <family val="2"/>
    </font>
    <font>
      <sz val="11"/>
      <color theme="1"/>
      <name val="Verdana"/>
      <family val="2"/>
    </font>
    <font>
      <sz val="11"/>
      <color indexed="9"/>
      <name val="Verdan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lightGray"/>
    </fill>
    <fill>
      <patternFill patternType="solid">
        <fgColor rgb="FFD2E6C4"/>
        <bgColor indexed="64"/>
      </patternFill>
    </fill>
    <fill>
      <patternFill patternType="solid">
        <fgColor rgb="FFFFC7CE"/>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auto="1"/>
      </left>
      <right style="thin">
        <color indexed="64"/>
      </right>
      <top style="thin">
        <color indexed="64"/>
      </top>
      <bottom style="thin">
        <color indexed="64"/>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63">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20" borderId="1" applyNumberFormat="0" applyAlignment="0" applyProtection="0"/>
    <xf numFmtId="0" fontId="16" fillId="20" borderId="2" applyNumberFormat="0" applyAlignment="0" applyProtection="0"/>
    <xf numFmtId="0" fontId="17" fillId="7" borderId="2" applyNumberFormat="0" applyAlignment="0" applyProtection="0"/>
    <xf numFmtId="0" fontId="18" fillId="0" borderId="3" applyNumberFormat="0" applyFill="0" applyAlignment="0" applyProtection="0"/>
    <xf numFmtId="0" fontId="19" fillId="0" borderId="0" applyNumberForma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0" fontId="20" fillId="4" borderId="0" applyNumberFormat="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4" fontId="6" fillId="0" borderId="0" applyFont="0" applyFill="0" applyBorder="0" applyAlignment="0" applyProtection="0"/>
    <xf numFmtId="0" fontId="8" fillId="0" borderId="0" applyNumberFormat="0" applyFill="0" applyBorder="0" applyAlignment="0" applyProtection="0">
      <alignment vertical="top"/>
      <protection locked="0"/>
    </xf>
    <xf numFmtId="0" fontId="22" fillId="21" borderId="0" applyNumberFormat="0" applyBorder="0" applyAlignment="0" applyProtection="0"/>
    <xf numFmtId="0" fontId="6" fillId="22" borderId="4" applyNumberFormat="0" applyFont="0" applyAlignment="0" applyProtection="0"/>
    <xf numFmtId="0" fontId="23" fillId="3" borderId="0" applyNumberFormat="0" applyBorder="0" applyAlignment="0" applyProtection="0"/>
    <xf numFmtId="0" fontId="6" fillId="0" borderId="0"/>
    <xf numFmtId="0" fontId="3" fillId="0" borderId="0"/>
    <xf numFmtId="0" fontId="30" fillId="0" borderId="0"/>
    <xf numFmtId="0" fontId="6" fillId="0" borderId="0"/>
    <xf numFmtId="0" fontId="2" fillId="0" borderId="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12" fillId="0" borderId="0" applyNumberFormat="0" applyFill="0" applyBorder="0" applyAlignment="0" applyProtection="0"/>
    <xf numFmtId="0" fontId="27" fillId="0" borderId="8" applyNumberFormat="0" applyFill="0" applyAlignment="0" applyProtection="0"/>
    <xf numFmtId="0" fontId="28" fillId="0" borderId="0" applyNumberFormat="0" applyFill="0" applyBorder="0" applyAlignment="0" applyProtection="0"/>
    <xf numFmtId="0" fontId="29" fillId="23" borderId="9" applyNumberFormat="0" applyAlignment="0" applyProtection="0"/>
    <xf numFmtId="0" fontId="2" fillId="0" borderId="0"/>
    <xf numFmtId="0" fontId="38" fillId="0" borderId="0" applyNumberFormat="0" applyFill="0" applyBorder="0" applyAlignment="0" applyProtection="0"/>
    <xf numFmtId="0" fontId="39" fillId="0" borderId="0"/>
    <xf numFmtId="0" fontId="2"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2" fillId="0" borderId="0"/>
  </cellStyleXfs>
  <cellXfs count="257">
    <xf numFmtId="0" fontId="0" fillId="0" borderId="0" xfId="0"/>
    <xf numFmtId="0" fontId="5" fillId="24" borderId="10" xfId="0" applyFont="1" applyFill="1" applyBorder="1" applyAlignment="1">
      <alignment horizontal="center" vertical="center" wrapText="1"/>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11" fillId="0" borderId="0" xfId="39" applyFont="1" applyAlignment="1" applyProtection="1">
      <alignment vertical="center"/>
    </xf>
    <xf numFmtId="0" fontId="5" fillId="0" borderId="0" xfId="0" applyFont="1"/>
    <xf numFmtId="0" fontId="5" fillId="0" borderId="0" xfId="43" applyFont="1" applyAlignment="1">
      <alignment vertical="center"/>
    </xf>
    <xf numFmtId="2" fontId="9" fillId="26" borderId="11" xfId="0" applyNumberFormat="1" applyFont="1" applyFill="1" applyBorder="1" applyAlignment="1" applyProtection="1">
      <alignment horizontal="center" vertical="center"/>
      <protection locked="0"/>
    </xf>
    <xf numFmtId="166" fontId="5" fillId="26" borderId="11" xfId="0" applyNumberFormat="1" applyFont="1" applyFill="1" applyBorder="1" applyAlignment="1" applyProtection="1">
      <alignment horizontal="center" vertical="center"/>
      <protection locked="0"/>
    </xf>
    <xf numFmtId="2" fontId="7" fillId="26" borderId="13" xfId="0" applyNumberFormat="1" applyFont="1" applyFill="1" applyBorder="1" applyAlignment="1" applyProtection="1">
      <alignment vertical="center"/>
      <protection locked="0"/>
    </xf>
    <xf numFmtId="2" fontId="7" fillId="26" borderId="12" xfId="0" applyNumberFormat="1" applyFont="1" applyFill="1" applyBorder="1" applyAlignment="1" applyProtection="1">
      <alignment vertical="center"/>
      <protection locked="0"/>
    </xf>
    <xf numFmtId="2" fontId="7" fillId="26" borderId="0" xfId="0" applyNumberFormat="1" applyFont="1" applyFill="1" applyAlignment="1" applyProtection="1">
      <alignment vertical="center"/>
      <protection locked="0"/>
    </xf>
    <xf numFmtId="167" fontId="5" fillId="26" borderId="11" xfId="0" applyNumberFormat="1" applyFont="1" applyFill="1" applyBorder="1" applyAlignment="1" applyProtection="1">
      <alignment vertical="center"/>
      <protection locked="0"/>
    </xf>
    <xf numFmtId="0" fontId="5" fillId="0" borderId="10" xfId="0" applyFont="1" applyBorder="1" applyAlignment="1">
      <alignment vertical="center" wrapText="1"/>
    </xf>
    <xf numFmtId="0" fontId="37" fillId="0" borderId="0" xfId="0" applyFont="1" applyAlignment="1">
      <alignment vertical="center"/>
    </xf>
    <xf numFmtId="0" fontId="5" fillId="0" borderId="0" xfId="56" applyFont="1" applyAlignment="1">
      <alignment vertical="center"/>
    </xf>
    <xf numFmtId="0" fontId="5" fillId="0" borderId="0" xfId="56" applyFont="1"/>
    <xf numFmtId="0" fontId="5" fillId="0" borderId="0" xfId="56" applyFont="1" applyAlignment="1">
      <alignment horizontal="left" vertical="center"/>
    </xf>
    <xf numFmtId="49" fontId="5" fillId="26" borderId="10" xfId="0" applyNumberFormat="1" applyFont="1" applyFill="1" applyBorder="1" applyAlignment="1" applyProtection="1">
      <alignment horizontal="left" vertical="center"/>
      <protection locked="0"/>
    </xf>
    <xf numFmtId="0" fontId="5" fillId="0" borderId="0" xfId="0" applyFont="1" applyAlignment="1">
      <alignment horizontal="center" vertical="center"/>
    </xf>
    <xf numFmtId="0" fontId="5" fillId="0" borderId="0" xfId="0" applyFont="1" applyAlignment="1">
      <alignment vertical="center" wrapText="1"/>
    </xf>
    <xf numFmtId="0" fontId="31" fillId="0" borderId="0" xfId="0" applyFont="1" applyAlignment="1">
      <alignment vertical="center"/>
    </xf>
    <xf numFmtId="0" fontId="5" fillId="0" borderId="0" xfId="0" applyFont="1" applyAlignment="1" applyProtection="1">
      <alignment vertical="center"/>
      <protection locked="0"/>
    </xf>
    <xf numFmtId="0" fontId="5" fillId="0" borderId="11" xfId="0" applyFont="1" applyBorder="1" applyAlignment="1">
      <alignment vertical="center"/>
    </xf>
    <xf numFmtId="0" fontId="5" fillId="0" borderId="11" xfId="0" applyFont="1" applyBorder="1" applyAlignment="1">
      <alignment horizontal="left" vertical="center"/>
    </xf>
    <xf numFmtId="0" fontId="11" fillId="0" borderId="0" xfId="60" applyFont="1" applyAlignment="1" applyProtection="1">
      <alignment vertical="center"/>
    </xf>
    <xf numFmtId="0" fontId="7" fillId="0" borderId="0" xfId="56" applyFont="1" applyAlignment="1">
      <alignment vertical="center"/>
    </xf>
    <xf numFmtId="0" fontId="11" fillId="0" borderId="0" xfId="61" applyFont="1" applyAlignment="1" applyProtection="1">
      <alignment vertical="center"/>
    </xf>
    <xf numFmtId="0" fontId="5" fillId="0" borderId="0" xfId="56" applyFont="1" applyAlignment="1" applyProtection="1">
      <alignment vertical="center"/>
      <protection locked="0"/>
    </xf>
    <xf numFmtId="169" fontId="35" fillId="0" borderId="0" xfId="56" applyNumberFormat="1" applyFont="1" applyAlignment="1">
      <alignment horizontal="left" vertical="center"/>
    </xf>
    <xf numFmtId="4" fontId="7" fillId="0" borderId="0" xfId="56" applyNumberFormat="1" applyFont="1" applyAlignment="1">
      <alignment vertical="center"/>
    </xf>
    <xf numFmtId="4" fontId="11" fillId="0" borderId="0" xfId="60" applyNumberFormat="1" applyFont="1" applyAlignment="1" applyProtection="1">
      <alignment vertical="center"/>
    </xf>
    <xf numFmtId="4" fontId="5" fillId="0" borderId="0" xfId="56" applyNumberFormat="1" applyFont="1" applyAlignment="1">
      <alignment vertical="center"/>
    </xf>
    <xf numFmtId="0" fontId="5" fillId="0" borderId="0" xfId="56" applyFont="1" applyAlignment="1">
      <alignment horizontal="center" vertical="center"/>
    </xf>
    <xf numFmtId="0" fontId="5" fillId="0" borderId="0" xfId="56" applyFont="1" applyAlignment="1">
      <alignment vertical="center" wrapText="1"/>
    </xf>
    <xf numFmtId="0" fontId="3" fillId="0" borderId="0" xfId="56" applyFont="1" applyAlignment="1">
      <alignment vertical="center"/>
    </xf>
    <xf numFmtId="0" fontId="5" fillId="0" borderId="11" xfId="56" applyFont="1" applyBorder="1" applyAlignment="1">
      <alignment vertical="center" wrapText="1"/>
    </xf>
    <xf numFmtId="0" fontId="5" fillId="24" borderId="16" xfId="56" applyFont="1" applyFill="1" applyBorder="1" applyAlignment="1">
      <alignment horizontal="center" vertical="center" wrapText="1"/>
    </xf>
    <xf numFmtId="0" fontId="5" fillId="24" borderId="19" xfId="56" applyFont="1" applyFill="1" applyBorder="1" applyAlignment="1">
      <alignment horizontal="center" vertical="center" wrapText="1"/>
    </xf>
    <xf numFmtId="0" fontId="5" fillId="24" borderId="16" xfId="56" applyFont="1" applyFill="1" applyBorder="1" applyAlignment="1">
      <alignment horizontal="center" vertical="center"/>
    </xf>
    <xf numFmtId="0" fontId="5" fillId="24" borderId="10" xfId="56" applyFont="1" applyFill="1" applyBorder="1" applyAlignment="1">
      <alignment horizontal="center" vertical="center" wrapText="1"/>
    </xf>
    <xf numFmtId="0" fontId="5" fillId="24" borderId="10" xfId="56" applyFont="1" applyFill="1" applyBorder="1" applyAlignment="1">
      <alignment horizontal="center" vertical="center"/>
    </xf>
    <xf numFmtId="0" fontId="5" fillId="0" borderId="0" xfId="56" applyFont="1" applyAlignment="1">
      <alignment horizontal="left" vertical="center" wrapText="1"/>
    </xf>
    <xf numFmtId="4" fontId="5" fillId="0" borderId="0" xfId="56" applyNumberFormat="1" applyFont="1"/>
    <xf numFmtId="0" fontId="5" fillId="0" borderId="0" xfId="56" applyFont="1" applyProtection="1">
      <protection locked="0"/>
    </xf>
    <xf numFmtId="169" fontId="35" fillId="0" borderId="0" xfId="56" applyNumberFormat="1" applyFont="1"/>
    <xf numFmtId="0" fontId="5" fillId="0" borderId="0" xfId="56" applyFont="1" applyAlignment="1" applyProtection="1">
      <alignment vertical="top"/>
      <protection locked="0"/>
    </xf>
    <xf numFmtId="169" fontId="35" fillId="0" borderId="0" xfId="56" applyNumberFormat="1" applyFont="1" applyAlignment="1">
      <alignment vertical="center" wrapText="1"/>
    </xf>
    <xf numFmtId="0" fontId="5" fillId="0" borderId="23" xfId="56" applyFont="1" applyBorder="1"/>
    <xf numFmtId="0" fontId="5" fillId="0" borderId="10" xfId="56" applyFont="1" applyBorder="1" applyAlignment="1">
      <alignment horizontal="center" vertical="center"/>
    </xf>
    <xf numFmtId="0" fontId="5" fillId="0" borderId="10" xfId="56" applyFont="1" applyBorder="1" applyAlignment="1">
      <alignment vertical="center"/>
    </xf>
    <xf numFmtId="168" fontId="5" fillId="27" borderId="10" xfId="38" applyNumberFormat="1" applyFont="1" applyFill="1" applyBorder="1" applyAlignment="1" applyProtection="1">
      <alignment horizontal="center" vertical="center"/>
      <protection locked="0"/>
    </xf>
    <xf numFmtId="168" fontId="5" fillId="0" borderId="10" xfId="38" applyNumberFormat="1" applyFont="1" applyBorder="1" applyAlignment="1" applyProtection="1">
      <alignment horizontal="center" vertical="center"/>
    </xf>
    <xf numFmtId="168" fontId="5" fillId="0" borderId="10" xfId="38" applyNumberFormat="1" applyFont="1" applyFill="1" applyBorder="1" applyAlignment="1" applyProtection="1">
      <alignment horizontal="center" vertical="center"/>
    </xf>
    <xf numFmtId="4" fontId="5" fillId="0" borderId="10" xfId="56" applyNumberFormat="1" applyFont="1" applyBorder="1" applyAlignment="1">
      <alignment vertical="center"/>
    </xf>
    <xf numFmtId="4" fontId="5" fillId="0" borderId="10" xfId="56" applyNumberFormat="1" applyFont="1" applyBorder="1" applyAlignment="1">
      <alignment horizontal="center" vertical="center"/>
    </xf>
    <xf numFmtId="0" fontId="5" fillId="0" borderId="10" xfId="56" applyFont="1" applyBorder="1" applyAlignment="1">
      <alignment vertical="center" wrapText="1"/>
    </xf>
    <xf numFmtId="2" fontId="5" fillId="0" borderId="10" xfId="62" applyNumberFormat="1" applyFont="1" applyBorder="1" applyAlignment="1">
      <alignment vertical="center"/>
    </xf>
    <xf numFmtId="4" fontId="5" fillId="0" borderId="10" xfId="62" applyNumberFormat="1" applyFont="1" applyBorder="1" applyAlignment="1">
      <alignment vertical="center"/>
    </xf>
    <xf numFmtId="0" fontId="46" fillId="0" borderId="0" xfId="61" applyFont="1" applyAlignment="1" applyProtection="1">
      <alignment vertical="center"/>
    </xf>
    <xf numFmtId="0" fontId="3" fillId="0" borderId="0" xfId="56" applyFont="1"/>
    <xf numFmtId="170" fontId="35" fillId="0" borderId="0" xfId="56" applyNumberFormat="1" applyFont="1" applyAlignment="1">
      <alignment horizontal="left" vertical="center"/>
    </xf>
    <xf numFmtId="0" fontId="5" fillId="0" borderId="10" xfId="56" applyFont="1" applyBorder="1" applyAlignment="1">
      <alignment horizontal="center" vertical="center" wrapText="1"/>
    </xf>
    <xf numFmtId="4" fontId="5" fillId="0" borderId="10" xfId="56" applyNumberFormat="1" applyFont="1" applyBorder="1" applyAlignment="1">
      <alignment vertical="center" wrapText="1"/>
    </xf>
    <xf numFmtId="4" fontId="5" fillId="26" borderId="10" xfId="56" applyNumberFormat="1" applyFont="1" applyFill="1" applyBorder="1" applyAlignment="1" applyProtection="1">
      <alignment vertical="center" wrapText="1"/>
      <protection locked="0"/>
    </xf>
    <xf numFmtId="0" fontId="5" fillId="0" borderId="0" xfId="56" applyFont="1" applyAlignment="1">
      <alignment horizontal="center"/>
    </xf>
    <xf numFmtId="0" fontId="5" fillId="0" borderId="0" xfId="62" applyFont="1" applyAlignment="1">
      <alignment vertical="center"/>
    </xf>
    <xf numFmtId="0" fontId="5" fillId="0" borderId="0" xfId="62" applyFont="1" applyAlignment="1" applyProtection="1">
      <alignment vertical="center"/>
      <protection locked="0"/>
    </xf>
    <xf numFmtId="0" fontId="5" fillId="24" borderId="10" xfId="62" applyFont="1" applyFill="1" applyBorder="1" applyAlignment="1">
      <alignment horizontal="center" vertical="center"/>
    </xf>
    <xf numFmtId="0" fontId="5" fillId="24" borderId="10" xfId="62" applyFont="1" applyFill="1" applyBorder="1" applyAlignment="1">
      <alignment horizontal="center" vertical="center" wrapText="1"/>
    </xf>
    <xf numFmtId="0" fontId="5" fillId="0" borderId="10" xfId="62" applyFont="1" applyBorder="1" applyAlignment="1">
      <alignment vertical="center"/>
    </xf>
    <xf numFmtId="4" fontId="5" fillId="0" borderId="10" xfId="62" applyNumberFormat="1" applyFont="1" applyBorder="1" applyAlignment="1">
      <alignment horizontal="left" vertical="center" wrapText="1"/>
    </xf>
    <xf numFmtId="4" fontId="5" fillId="27" borderId="10" xfId="62" applyNumberFormat="1" applyFont="1" applyFill="1" applyBorder="1" applyAlignment="1" applyProtection="1">
      <alignment vertical="center"/>
      <protection locked="0"/>
    </xf>
    <xf numFmtId="0" fontId="5" fillId="0" borderId="13" xfId="62" applyFont="1" applyBorder="1" applyAlignment="1">
      <alignment horizontal="center" vertical="center" wrapText="1"/>
    </xf>
    <xf numFmtId="0" fontId="45" fillId="0" borderId="0" xfId="62" applyFont="1" applyAlignment="1">
      <alignment vertical="center"/>
    </xf>
    <xf numFmtId="0" fontId="47" fillId="0" borderId="0" xfId="62" applyFont="1" applyAlignment="1">
      <alignment vertical="center"/>
    </xf>
    <xf numFmtId="0" fontId="3" fillId="0" borderId="0" xfId="62" applyFont="1"/>
    <xf numFmtId="0" fontId="48" fillId="0" borderId="0" xfId="62" applyFont="1"/>
    <xf numFmtId="0" fontId="49" fillId="0" borderId="0" xfId="62" applyFont="1"/>
    <xf numFmtId="0" fontId="5" fillId="0" borderId="10" xfId="62" applyFont="1" applyBorder="1"/>
    <xf numFmtId="4" fontId="5" fillId="0" borderId="10" xfId="62" applyNumberFormat="1" applyFont="1" applyBorder="1"/>
    <xf numFmtId="2" fontId="5" fillId="0" borderId="10" xfId="62" applyNumberFormat="1" applyFont="1" applyBorder="1"/>
    <xf numFmtId="4" fontId="5" fillId="27" borderId="10" xfId="62" applyNumberFormat="1" applyFont="1" applyFill="1" applyBorder="1" applyProtection="1">
      <protection locked="0"/>
    </xf>
    <xf numFmtId="0" fontId="5" fillId="0" borderId="0" xfId="62" applyFont="1"/>
    <xf numFmtId="4" fontId="5" fillId="0" borderId="0" xfId="62" applyNumberFormat="1" applyFont="1"/>
    <xf numFmtId="2" fontId="5" fillId="0" borderId="0" xfId="62" applyNumberFormat="1" applyFont="1"/>
    <xf numFmtId="0" fontId="48" fillId="0" borderId="0" xfId="62" applyFont="1" applyAlignment="1">
      <alignment vertical="center"/>
    </xf>
    <xf numFmtId="4" fontId="5" fillId="27" borderId="10" xfId="56" applyNumberFormat="1" applyFont="1" applyFill="1" applyBorder="1" applyAlignment="1" applyProtection="1">
      <alignment vertical="center"/>
      <protection locked="0"/>
    </xf>
    <xf numFmtId="4" fontId="5" fillId="0" borderId="10" xfId="56" applyNumberFormat="1" applyFont="1" applyBorder="1" applyAlignment="1">
      <alignment horizontal="center" vertical="center" wrapText="1"/>
    </xf>
    <xf numFmtId="0" fontId="5" fillId="0" borderId="0" xfId="0" applyFont="1" applyAlignment="1">
      <alignment horizontal="right" vertical="center" wrapText="1"/>
    </xf>
    <xf numFmtId="0" fontId="5" fillId="0" borderId="10" xfId="0" applyFont="1" applyBorder="1" applyAlignment="1">
      <alignment horizontal="center" vertical="center"/>
    </xf>
    <xf numFmtId="167" fontId="5" fillId="0" borderId="10" xfId="0" applyNumberFormat="1" applyFont="1" applyBorder="1" applyAlignment="1">
      <alignment horizontal="center" vertical="center"/>
    </xf>
    <xf numFmtId="0" fontId="11" fillId="0" borderId="0" xfId="39" applyFont="1" applyAlignment="1" applyProtection="1">
      <alignment horizontal="left" vertical="center"/>
    </xf>
    <xf numFmtId="4" fontId="11" fillId="0" borderId="24" xfId="39" applyNumberFormat="1" applyFont="1" applyBorder="1" applyAlignment="1" applyProtection="1">
      <alignment vertical="center" wrapText="1"/>
    </xf>
    <xf numFmtId="4" fontId="5" fillId="0" borderId="10" xfId="0" applyNumberFormat="1" applyFont="1" applyBorder="1" applyAlignment="1">
      <alignment vertical="center" wrapText="1"/>
    </xf>
    <xf numFmtId="3" fontId="5" fillId="0" borderId="10" xfId="0" applyNumberFormat="1" applyFont="1" applyBorder="1" applyAlignment="1">
      <alignment horizontal="center" vertical="center" wrapText="1"/>
    </xf>
    <xf numFmtId="4" fontId="5" fillId="28" borderId="10" xfId="0" applyNumberFormat="1" applyFont="1" applyFill="1" applyBorder="1" applyAlignment="1">
      <alignment vertical="center" wrapText="1"/>
    </xf>
    <xf numFmtId="0" fontId="5" fillId="24" borderId="25" xfId="0" applyFont="1" applyFill="1" applyBorder="1" applyAlignment="1">
      <alignment horizontal="center" vertical="center" wrapText="1"/>
    </xf>
    <xf numFmtId="0" fontId="5" fillId="0" borderId="25" xfId="0" applyFont="1" applyBorder="1" applyAlignment="1">
      <alignment vertical="center" wrapText="1"/>
    </xf>
    <xf numFmtId="4" fontId="5" fillId="0" borderId="25" xfId="0" applyNumberFormat="1" applyFont="1" applyBorder="1" applyAlignment="1">
      <alignment vertical="center" wrapText="1"/>
    </xf>
    <xf numFmtId="3" fontId="5" fillId="0" borderId="25" xfId="0" applyNumberFormat="1" applyFont="1" applyBorder="1" applyAlignment="1">
      <alignment horizontal="center" vertical="center" wrapText="1"/>
    </xf>
    <xf numFmtId="4" fontId="5" fillId="28" borderId="25" xfId="0" applyNumberFormat="1" applyFont="1" applyFill="1" applyBorder="1" applyAlignment="1">
      <alignment vertical="center" wrapText="1"/>
    </xf>
    <xf numFmtId="4" fontId="5" fillId="0" borderId="10" xfId="56" applyNumberFormat="1" applyFont="1" applyBorder="1" applyAlignment="1">
      <alignment horizontal="right" vertical="center" wrapText="1"/>
    </xf>
    <xf numFmtId="1" fontId="5" fillId="0" borderId="26" xfId="56" applyNumberFormat="1" applyFont="1" applyBorder="1" applyAlignment="1">
      <alignment horizontal="center" vertical="center" wrapText="1"/>
    </xf>
    <xf numFmtId="0" fontId="5" fillId="0" borderId="26" xfId="56" applyFont="1" applyBorder="1" applyAlignment="1">
      <alignment vertical="center" wrapText="1"/>
    </xf>
    <xf numFmtId="4" fontId="5" fillId="0" borderId="26" xfId="56" applyNumberFormat="1" applyFont="1" applyBorder="1" applyAlignment="1">
      <alignment horizontal="center" vertical="center" wrapText="1"/>
    </xf>
    <xf numFmtId="4" fontId="5" fillId="0" borderId="26" xfId="56" applyNumberFormat="1" applyFont="1" applyBorder="1" applyAlignment="1">
      <alignment horizontal="right" vertical="center" wrapText="1"/>
    </xf>
    <xf numFmtId="0" fontId="5" fillId="0" borderId="10" xfId="56" applyFont="1" applyBorder="1" applyAlignment="1">
      <alignment horizontal="left" vertical="center" wrapText="1"/>
    </xf>
    <xf numFmtId="0" fontId="5" fillId="0" borderId="26" xfId="56" applyFont="1" applyBorder="1" applyAlignment="1">
      <alignment horizontal="center" vertical="center" wrapText="1"/>
    </xf>
    <xf numFmtId="4" fontId="5" fillId="0" borderId="26" xfId="62" applyNumberFormat="1" applyFont="1" applyBorder="1" applyAlignment="1">
      <alignment horizontal="right" vertical="center" wrapText="1"/>
    </xf>
    <xf numFmtId="4" fontId="5" fillId="28" borderId="26" xfId="62" applyNumberFormat="1" applyFont="1" applyFill="1" applyBorder="1" applyAlignment="1">
      <alignment horizontal="right" vertical="center" wrapText="1"/>
    </xf>
    <xf numFmtId="4" fontId="5" fillId="28" borderId="26" xfId="56" applyNumberFormat="1" applyFont="1" applyFill="1" applyBorder="1" applyAlignment="1">
      <alignment horizontal="right" vertical="center" wrapText="1"/>
    </xf>
    <xf numFmtId="0" fontId="35" fillId="0" borderId="0" xfId="0" applyFont="1" applyAlignment="1">
      <alignment horizontal="left" vertical="center"/>
    </xf>
    <xf numFmtId="0" fontId="5" fillId="0" borderId="0" xfId="44" applyFont="1" applyAlignment="1">
      <alignment horizontal="left" vertical="center" wrapText="1"/>
    </xf>
    <xf numFmtId="0" fontId="5" fillId="24" borderId="10" xfId="0" applyFont="1" applyFill="1" applyBorder="1" applyAlignment="1">
      <alignment horizontal="left" vertical="center"/>
    </xf>
    <xf numFmtId="14" fontId="5" fillId="0" borderId="10" xfId="0" applyNumberFormat="1" applyFont="1" applyBorder="1" applyAlignment="1">
      <alignment vertical="center"/>
    </xf>
    <xf numFmtId="0" fontId="40" fillId="0" borderId="0" xfId="0" applyFont="1" applyAlignment="1">
      <alignment vertical="center"/>
    </xf>
    <xf numFmtId="0" fontId="5" fillId="0" borderId="10" xfId="0" applyFont="1" applyBorder="1" applyAlignment="1">
      <alignment vertical="center"/>
    </xf>
    <xf numFmtId="0" fontId="5" fillId="24" borderId="24" xfId="0" applyFont="1" applyFill="1" applyBorder="1" applyAlignment="1">
      <alignment horizontal="center" vertical="center" wrapText="1"/>
    </xf>
    <xf numFmtId="0" fontId="5" fillId="0" borderId="24" xfId="44" applyFont="1" applyBorder="1" applyAlignment="1">
      <alignment vertical="center" wrapText="1"/>
    </xf>
    <xf numFmtId="4" fontId="5" fillId="0" borderId="24" xfId="0" applyNumberFormat="1" applyFont="1" applyBorder="1" applyAlignment="1">
      <alignment horizontal="center" vertical="center" wrapText="1"/>
    </xf>
    <xf numFmtId="0" fontId="5" fillId="28" borderId="24" xfId="0" applyFont="1" applyFill="1" applyBorder="1" applyAlignment="1">
      <alignment vertical="center" wrapText="1"/>
    </xf>
    <xf numFmtId="4" fontId="5" fillId="0" borderId="24" xfId="0" applyNumberFormat="1" applyFont="1" applyBorder="1" applyAlignment="1">
      <alignment vertical="center" wrapText="1"/>
    </xf>
    <xf numFmtId="0" fontId="9" fillId="28" borderId="24" xfId="0" applyFont="1" applyFill="1" applyBorder="1" applyAlignment="1">
      <alignment vertical="center" wrapText="1"/>
    </xf>
    <xf numFmtId="2" fontId="35" fillId="0" borderId="0" xfId="0" applyNumberFormat="1" applyFont="1" applyAlignment="1">
      <alignment vertical="center"/>
    </xf>
    <xf numFmtId="2" fontId="5" fillId="0" borderId="0" xfId="0" applyNumberFormat="1" applyFont="1" applyAlignment="1">
      <alignment vertical="center"/>
    </xf>
    <xf numFmtId="2" fontId="9" fillId="0" borderId="0" xfId="0" applyNumberFormat="1" applyFont="1" applyAlignment="1">
      <alignment vertical="center"/>
    </xf>
    <xf numFmtId="166" fontId="9" fillId="0" borderId="11" xfId="0" applyNumberFormat="1" applyFont="1" applyBorder="1" applyAlignment="1">
      <alignment horizontal="center" vertical="center"/>
    </xf>
    <xf numFmtId="0" fontId="35" fillId="0" borderId="0" xfId="0" applyFont="1" applyAlignment="1">
      <alignment vertical="center"/>
    </xf>
    <xf numFmtId="2" fontId="5" fillId="0" borderId="0" xfId="0" applyNumberFormat="1" applyFont="1" applyAlignment="1">
      <alignment horizontal="center" vertical="center"/>
    </xf>
    <xf numFmtId="2" fontId="9" fillId="0" borderId="0" xfId="0" applyNumberFormat="1" applyFont="1" applyAlignment="1">
      <alignment horizontal="center" vertical="center"/>
    </xf>
    <xf numFmtId="0" fontId="36" fillId="0" borderId="0" xfId="0" applyFont="1" applyAlignment="1">
      <alignment vertical="center"/>
    </xf>
    <xf numFmtId="2" fontId="5" fillId="0" borderId="11" xfId="0" applyNumberFormat="1" applyFont="1" applyBorder="1" applyAlignment="1">
      <alignment horizontal="center" vertical="center"/>
    </xf>
    <xf numFmtId="166" fontId="9" fillId="0" borderId="12" xfId="0" applyNumberFormat="1" applyFont="1" applyBorder="1" applyAlignment="1">
      <alignment horizontal="center" vertical="center"/>
    </xf>
    <xf numFmtId="2" fontId="9" fillId="0" borderId="12" xfId="0" applyNumberFormat="1" applyFont="1" applyBorder="1" applyAlignment="1">
      <alignment horizontal="center" vertical="center"/>
    </xf>
    <xf numFmtId="166" fontId="5" fillId="0" borderId="11" xfId="0" applyNumberFormat="1" applyFont="1" applyBorder="1" applyAlignment="1">
      <alignment horizontal="center" vertical="center"/>
    </xf>
    <xf numFmtId="167" fontId="5" fillId="0" borderId="11" xfId="0" applyNumberFormat="1" applyFont="1" applyBorder="1" applyAlignment="1">
      <alignment horizontal="center" vertical="center"/>
    </xf>
    <xf numFmtId="167" fontId="5" fillId="0" borderId="0" xfId="0" applyNumberFormat="1" applyFont="1" applyAlignment="1">
      <alignment horizontal="center" vertical="center"/>
    </xf>
    <xf numFmtId="166" fontId="9" fillId="0" borderId="0" xfId="0" applyNumberFormat="1" applyFont="1" applyAlignment="1">
      <alignment horizontal="center" vertical="center"/>
    </xf>
    <xf numFmtId="2" fontId="7" fillId="0" borderId="0" xfId="0" applyNumberFormat="1" applyFont="1" applyAlignment="1">
      <alignment vertical="center"/>
    </xf>
    <xf numFmtId="0" fontId="37" fillId="0" borderId="0" xfId="0" applyFont="1" applyAlignment="1" applyProtection="1">
      <alignment vertical="center"/>
      <protection locked="0"/>
    </xf>
    <xf numFmtId="0" fontId="5" fillId="0" borderId="10" xfId="43" applyFont="1" applyBorder="1" applyAlignment="1">
      <alignment vertical="center"/>
    </xf>
    <xf numFmtId="2" fontId="5" fillId="0" borderId="10" xfId="43" applyNumberFormat="1" applyFont="1" applyBorder="1" applyAlignment="1">
      <alignment vertical="center"/>
    </xf>
    <xf numFmtId="0" fontId="35" fillId="0" borderId="0" xfId="0" applyFont="1" applyAlignment="1">
      <alignment vertical="center" wrapText="1"/>
    </xf>
    <xf numFmtId="0" fontId="5" fillId="0" borderId="10" xfId="43" applyFont="1" applyBorder="1" applyAlignment="1">
      <alignment horizontal="center" vertical="center" wrapText="1"/>
    </xf>
    <xf numFmtId="0" fontId="5" fillId="0" borderId="10" xfId="43" applyFont="1" applyBorder="1" applyAlignment="1">
      <alignment horizontal="center" vertical="center"/>
    </xf>
    <xf numFmtId="2" fontId="5" fillId="0" borderId="10" xfId="43" applyNumberFormat="1" applyFont="1" applyBorder="1" applyAlignment="1">
      <alignment horizontal="center" vertical="center"/>
    </xf>
    <xf numFmtId="2" fontId="9" fillId="0" borderId="10" xfId="43" applyNumberFormat="1" applyFont="1" applyBorder="1" applyAlignment="1">
      <alignment horizontal="center" vertical="center"/>
    </xf>
    <xf numFmtId="2" fontId="5" fillId="0" borderId="10" xfId="56" applyNumberFormat="1" applyFont="1" applyBorder="1" applyAlignment="1">
      <alignment horizontal="center" vertical="center"/>
    </xf>
    <xf numFmtId="2" fontId="9" fillId="0" borderId="10" xfId="56" applyNumberFormat="1" applyFont="1" applyBorder="1" applyAlignment="1">
      <alignment horizontal="center" vertical="center"/>
    </xf>
    <xf numFmtId="0" fontId="9" fillId="0" borderId="0" xfId="0" applyFont="1" applyAlignment="1">
      <alignment vertical="center"/>
    </xf>
    <xf numFmtId="49" fontId="5" fillId="0" borderId="0" xfId="0" applyNumberFormat="1" applyFont="1" applyAlignment="1">
      <alignment vertical="center"/>
    </xf>
    <xf numFmtId="0" fontId="5" fillId="0" borderId="10" xfId="0" applyFont="1" applyBorder="1" applyAlignment="1">
      <alignment horizontal="center" vertical="center" wrapText="1"/>
    </xf>
    <xf numFmtId="0" fontId="33" fillId="24" borderId="21" xfId="0" applyFont="1" applyFill="1" applyBorder="1" applyAlignment="1">
      <alignment vertical="center"/>
    </xf>
    <xf numFmtId="0" fontId="9" fillId="24" borderId="11" xfId="0" applyFont="1" applyFill="1" applyBorder="1" applyAlignment="1">
      <alignment vertical="center"/>
    </xf>
    <xf numFmtId="0" fontId="9" fillId="24" borderId="22" xfId="0" applyFont="1" applyFill="1" applyBorder="1" applyAlignment="1">
      <alignment vertical="center"/>
    </xf>
    <xf numFmtId="4" fontId="5" fillId="26" borderId="10" xfId="0" applyNumberFormat="1" applyFont="1" applyFill="1" applyBorder="1" applyAlignment="1" applyProtection="1">
      <alignment vertical="center"/>
      <protection locked="0"/>
    </xf>
    <xf numFmtId="4" fontId="5" fillId="0" borderId="10" xfId="0" applyNumberFormat="1" applyFont="1" applyBorder="1" applyAlignment="1">
      <alignment vertical="center"/>
    </xf>
    <xf numFmtId="0" fontId="5" fillId="24" borderId="14" xfId="0" applyFont="1" applyFill="1" applyBorder="1" applyAlignment="1">
      <alignment horizontal="left" vertical="center" wrapText="1"/>
    </xf>
    <xf numFmtId="0" fontId="5" fillId="24" borderId="14" xfId="0" applyFont="1" applyFill="1" applyBorder="1" applyAlignment="1">
      <alignment vertical="center" wrapText="1"/>
    </xf>
    <xf numFmtId="169" fontId="35" fillId="0" borderId="0" xfId="0" applyNumberFormat="1" applyFont="1" applyAlignment="1">
      <alignment horizontal="left" vertical="center"/>
    </xf>
    <xf numFmtId="0" fontId="5" fillId="25" borderId="10" xfId="0" applyFont="1" applyFill="1" applyBorder="1" applyAlignment="1">
      <alignment vertical="center" wrapText="1"/>
    </xf>
    <xf numFmtId="4" fontId="5" fillId="25" borderId="10" xfId="0" applyNumberFormat="1" applyFont="1" applyFill="1" applyBorder="1" applyAlignment="1">
      <alignment vertical="center" wrapText="1"/>
    </xf>
    <xf numFmtId="4" fontId="4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1" fontId="5" fillId="0" borderId="10" xfId="0" applyNumberFormat="1" applyFont="1" applyBorder="1" applyAlignment="1">
      <alignment horizontal="center" vertical="center" wrapText="1"/>
    </xf>
    <xf numFmtId="4" fontId="5" fillId="0" borderId="10" xfId="0" applyNumberFormat="1" applyFont="1" applyBorder="1" applyAlignment="1">
      <alignment horizontal="center" vertical="center" wrapText="1"/>
    </xf>
    <xf numFmtId="4" fontId="5" fillId="26" borderId="10" xfId="0" applyNumberFormat="1" applyFont="1" applyFill="1" applyBorder="1" applyAlignment="1" applyProtection="1">
      <alignment vertical="center" wrapText="1"/>
      <protection locked="0"/>
    </xf>
    <xf numFmtId="0" fontId="44" fillId="0" borderId="0" xfId="0" applyFont="1" applyAlignment="1">
      <alignment vertical="center"/>
    </xf>
    <xf numFmtId="0" fontId="44" fillId="30" borderId="0" xfId="0" applyFont="1" applyFill="1" applyAlignment="1">
      <alignment vertical="center"/>
    </xf>
    <xf numFmtId="2" fontId="5" fillId="0" borderId="10" xfId="0" applyNumberFormat="1" applyFont="1" applyBorder="1" applyAlignment="1">
      <alignment vertical="center" wrapText="1"/>
    </xf>
    <xf numFmtId="0" fontId="5" fillId="24" borderId="10" xfId="0" applyFont="1" applyFill="1" applyBorder="1" applyAlignment="1">
      <alignment horizontal="center" vertical="center"/>
    </xf>
    <xf numFmtId="4" fontId="5" fillId="0" borderId="10" xfId="0" applyNumberFormat="1" applyFont="1" applyBorder="1" applyAlignment="1">
      <alignment horizontal="center" vertical="center"/>
    </xf>
    <xf numFmtId="0" fontId="5" fillId="0" borderId="10" xfId="0" applyFont="1" applyBorder="1"/>
    <xf numFmtId="4" fontId="34" fillId="0" borderId="10" xfId="0" applyNumberFormat="1" applyFont="1" applyBorder="1" applyAlignment="1">
      <alignment horizontal="center" vertical="center"/>
    </xf>
    <xf numFmtId="4" fontId="43" fillId="0" borderId="10" xfId="0" applyNumberFormat="1" applyFont="1" applyBorder="1" applyAlignment="1">
      <alignment horizontal="center" vertical="center"/>
    </xf>
    <xf numFmtId="4" fontId="43" fillId="28" borderId="10" xfId="0" applyNumberFormat="1" applyFont="1" applyFill="1" applyBorder="1" applyAlignment="1">
      <alignment horizontal="center" vertical="center"/>
    </xf>
    <xf numFmtId="4" fontId="43" fillId="29" borderId="10" xfId="0" applyNumberFormat="1" applyFont="1" applyFill="1" applyBorder="1" applyAlignment="1">
      <alignment horizontal="center" vertical="center"/>
    </xf>
    <xf numFmtId="4" fontId="5" fillId="29" borderId="10" xfId="0" applyNumberFormat="1" applyFont="1" applyFill="1" applyBorder="1" applyAlignment="1">
      <alignment horizontal="center" vertical="center"/>
    </xf>
    <xf numFmtId="4" fontId="5" fillId="28" borderId="10" xfId="0" applyNumberFormat="1" applyFont="1" applyFill="1" applyBorder="1" applyAlignment="1">
      <alignment horizontal="center" vertical="center"/>
    </xf>
    <xf numFmtId="0" fontId="37"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167" fontId="9" fillId="0" borderId="11" xfId="0" applyNumberFormat="1" applyFont="1" applyBorder="1" applyAlignment="1">
      <alignment horizontal="center" vertical="center"/>
    </xf>
    <xf numFmtId="4" fontId="9" fillId="0" borderId="12" xfId="0" applyNumberFormat="1" applyFont="1" applyBorder="1" applyAlignment="1">
      <alignment horizontal="center" vertical="center"/>
    </xf>
    <xf numFmtId="4" fontId="5" fillId="26" borderId="26" xfId="56" applyNumberFormat="1" applyFont="1" applyFill="1" applyBorder="1" applyAlignment="1" applyProtection="1">
      <alignment horizontal="right" vertical="center" wrapText="1"/>
      <protection locked="0"/>
    </xf>
    <xf numFmtId="4" fontId="5" fillId="26" borderId="10" xfId="56" applyNumberFormat="1" applyFont="1" applyFill="1" applyBorder="1" applyAlignment="1" applyProtection="1">
      <alignment horizontal="right" vertical="center" wrapText="1"/>
      <protection locked="0"/>
    </xf>
    <xf numFmtId="4" fontId="5" fillId="0" borderId="27" xfId="56" applyNumberFormat="1" applyFont="1" applyBorder="1" applyAlignment="1">
      <alignment horizontal="right" vertical="center" wrapText="1"/>
    </xf>
    <xf numFmtId="0" fontId="1" fillId="0" borderId="0" xfId="62" applyFont="1" applyAlignment="1">
      <alignment vertical="center"/>
    </xf>
    <xf numFmtId="0" fontId="1" fillId="0" borderId="10" xfId="62" applyFont="1" applyBorder="1" applyAlignment="1">
      <alignment horizontal="center" vertical="center"/>
    </xf>
    <xf numFmtId="4" fontId="1" fillId="0" borderId="10" xfId="62" applyNumberFormat="1" applyFont="1" applyBorder="1" applyAlignment="1">
      <alignment horizontal="center" vertical="center"/>
    </xf>
    <xf numFmtId="0" fontId="1" fillId="0" borderId="0" xfId="62" applyFont="1"/>
    <xf numFmtId="0" fontId="5" fillId="0" borderId="0" xfId="0" applyFont="1" applyAlignment="1">
      <alignment horizontal="left" vertical="center" wrapText="1"/>
    </xf>
    <xf numFmtId="0" fontId="5" fillId="0" borderId="0" xfId="0" applyFont="1" applyAlignment="1">
      <alignment horizontal="right" vertical="center" wrapText="1"/>
    </xf>
    <xf numFmtId="0" fontId="5" fillId="24" borderId="10" xfId="0" applyFont="1" applyFill="1" applyBorder="1" applyAlignment="1">
      <alignment horizontal="center" vertical="center" wrapText="1"/>
    </xf>
    <xf numFmtId="0" fontId="5" fillId="0" borderId="10" xfId="0" applyFont="1" applyBorder="1" applyAlignment="1">
      <alignment horizontal="right" vertical="center" wrapText="1"/>
    </xf>
    <xf numFmtId="3" fontId="5" fillId="0" borderId="10" xfId="0" applyNumberFormat="1" applyFont="1" applyBorder="1" applyAlignment="1">
      <alignment horizontal="center" vertical="center" wrapText="1"/>
    </xf>
    <xf numFmtId="4" fontId="5" fillId="0" borderId="10" xfId="0" applyNumberFormat="1" applyFont="1" applyBorder="1" applyAlignment="1">
      <alignment horizontal="right" vertical="center" wrapText="1"/>
    </xf>
    <xf numFmtId="0" fontId="5" fillId="24" borderId="14" xfId="0" applyFont="1" applyFill="1" applyBorder="1" applyAlignment="1">
      <alignment horizontal="center" vertical="center" wrapText="1"/>
    </xf>
    <xf numFmtId="0" fontId="3" fillId="0" borderId="15" xfId="0" applyFont="1" applyBorder="1" applyAlignment="1">
      <alignment horizontal="center" vertical="center" wrapText="1"/>
    </xf>
    <xf numFmtId="0" fontId="5" fillId="0" borderId="0" xfId="0" applyFont="1" applyAlignment="1">
      <alignment horizontal="center" vertical="center" wrapText="1"/>
    </xf>
    <xf numFmtId="0" fontId="5" fillId="24" borderId="25" xfId="0" applyFont="1" applyFill="1" applyBorder="1" applyAlignment="1">
      <alignment horizontal="center" vertical="center" wrapText="1"/>
    </xf>
    <xf numFmtId="2" fontId="9" fillId="24" borderId="16" xfId="0" applyNumberFormat="1" applyFont="1" applyFill="1" applyBorder="1" applyAlignment="1">
      <alignment horizontal="center" vertical="center" wrapText="1"/>
    </xf>
    <xf numFmtId="2" fontId="9" fillId="24" borderId="18" xfId="0" applyNumberFormat="1" applyFont="1" applyFill="1" applyBorder="1" applyAlignment="1">
      <alignment horizontal="center" vertical="center" wrapText="1"/>
    </xf>
    <xf numFmtId="2" fontId="9" fillId="24" borderId="20" xfId="0" applyNumberFormat="1" applyFont="1" applyFill="1" applyBorder="1" applyAlignment="1">
      <alignment horizontal="center" vertical="center"/>
    </xf>
    <xf numFmtId="2" fontId="9" fillId="24" borderId="13" xfId="0" applyNumberFormat="1" applyFont="1" applyFill="1" applyBorder="1" applyAlignment="1">
      <alignment horizontal="center" vertical="center"/>
    </xf>
    <xf numFmtId="2" fontId="9" fillId="24" borderId="17" xfId="0" applyNumberFormat="1" applyFont="1" applyFill="1" applyBorder="1" applyAlignment="1">
      <alignment horizontal="center" vertical="center"/>
    </xf>
    <xf numFmtId="2" fontId="9" fillId="24" borderId="21" xfId="0" applyNumberFormat="1" applyFont="1" applyFill="1" applyBorder="1" applyAlignment="1">
      <alignment horizontal="center" vertical="center"/>
    </xf>
    <xf numFmtId="2" fontId="9" fillId="24" borderId="11" xfId="0" applyNumberFormat="1" applyFont="1" applyFill="1" applyBorder="1" applyAlignment="1">
      <alignment horizontal="center" vertical="center"/>
    </xf>
    <xf numFmtId="2" fontId="9" fillId="24" borderId="22" xfId="0" applyNumberFormat="1" applyFont="1" applyFill="1" applyBorder="1" applyAlignment="1">
      <alignment horizontal="center" vertical="center"/>
    </xf>
    <xf numFmtId="2" fontId="33" fillId="24" borderId="0" xfId="0" applyNumberFormat="1" applyFont="1" applyFill="1" applyAlignment="1">
      <alignment horizontal="left" vertical="center"/>
    </xf>
    <xf numFmtId="2" fontId="9" fillId="0" borderId="0" xfId="0" applyNumberFormat="1" applyFont="1" applyAlignment="1">
      <alignment horizontal="left" vertical="center"/>
    </xf>
    <xf numFmtId="2" fontId="9" fillId="0" borderId="0" xfId="0" applyNumberFormat="1" applyFont="1" applyAlignment="1">
      <alignment horizontal="left" vertical="center" wrapText="1"/>
    </xf>
    <xf numFmtId="0" fontId="5" fillId="0" borderId="10" xfId="0" applyFont="1" applyBorder="1" applyAlignment="1">
      <alignment horizontal="center" vertical="center"/>
    </xf>
    <xf numFmtId="167" fontId="5" fillId="0" borderId="10" xfId="0" applyNumberFormat="1" applyFont="1" applyBorder="1" applyAlignment="1">
      <alignment horizontal="center" vertical="center"/>
    </xf>
    <xf numFmtId="0" fontId="5" fillId="24" borderId="23" xfId="0" applyFont="1" applyFill="1" applyBorder="1" applyAlignment="1">
      <alignment horizontal="left" vertical="center" wrapText="1"/>
    </xf>
    <xf numFmtId="0" fontId="5" fillId="24" borderId="21" xfId="0" applyFont="1" applyFill="1" applyBorder="1" applyAlignment="1">
      <alignment horizontal="left" vertical="center" wrapText="1"/>
    </xf>
    <xf numFmtId="0" fontId="5" fillId="24" borderId="20" xfId="0" applyFont="1" applyFill="1" applyBorder="1" applyAlignment="1">
      <alignment vertical="center" wrapText="1"/>
    </xf>
    <xf numFmtId="0" fontId="5" fillId="24" borderId="13" xfId="0" applyFont="1" applyFill="1" applyBorder="1" applyAlignment="1">
      <alignment vertical="center" wrapText="1"/>
    </xf>
    <xf numFmtId="0" fontId="5" fillId="24" borderId="17" xfId="0" applyFont="1" applyFill="1" applyBorder="1" applyAlignment="1">
      <alignment vertical="center" wrapText="1"/>
    </xf>
    <xf numFmtId="0" fontId="5" fillId="24" borderId="16" xfId="0" applyFont="1" applyFill="1" applyBorder="1" applyAlignment="1">
      <alignment horizontal="center" vertical="center" wrapText="1"/>
    </xf>
    <xf numFmtId="0" fontId="5" fillId="24" borderId="18" xfId="0" applyFont="1" applyFill="1" applyBorder="1" applyAlignment="1">
      <alignment horizontal="center" vertical="center" wrapText="1"/>
    </xf>
    <xf numFmtId="0" fontId="11" fillId="0" borderId="14" xfId="39" applyFont="1" applyBorder="1" applyAlignment="1" applyProtection="1">
      <alignment horizontal="left" vertical="center"/>
    </xf>
    <xf numFmtId="0" fontId="11" fillId="0" borderId="12" xfId="39" applyFont="1" applyBorder="1" applyAlignment="1" applyProtection="1">
      <alignment horizontal="left" vertical="center"/>
    </xf>
    <xf numFmtId="0" fontId="11" fillId="0" borderId="15" xfId="39" applyFont="1" applyBorder="1" applyAlignment="1" applyProtection="1">
      <alignment horizontal="left" vertical="center"/>
    </xf>
    <xf numFmtId="0" fontId="5" fillId="0" borderId="20" xfId="0" applyFont="1" applyBorder="1" applyAlignment="1">
      <alignment horizontal="left" vertical="center" wrapText="1"/>
    </xf>
    <xf numFmtId="0" fontId="5" fillId="0" borderId="13" xfId="0" applyFont="1" applyBorder="1" applyAlignment="1">
      <alignment horizontal="left" vertical="center" wrapText="1"/>
    </xf>
    <xf numFmtId="0" fontId="5" fillId="0" borderId="17" xfId="0" applyFont="1" applyBorder="1" applyAlignment="1">
      <alignment horizontal="left" vertical="center" wrapText="1"/>
    </xf>
    <xf numFmtId="0" fontId="5" fillId="0" borderId="21" xfId="0" applyFont="1" applyBorder="1" applyAlignment="1">
      <alignment horizontal="left" vertical="center" wrapText="1"/>
    </xf>
    <xf numFmtId="0" fontId="5" fillId="0" borderId="11" xfId="0" applyFont="1" applyBorder="1" applyAlignment="1">
      <alignment horizontal="left" vertical="center" wrapText="1"/>
    </xf>
    <xf numFmtId="0" fontId="5" fillId="0" borderId="22" xfId="0" applyFont="1" applyBorder="1" applyAlignment="1">
      <alignment horizontal="left" vertical="center" wrapText="1"/>
    </xf>
    <xf numFmtId="0" fontId="5" fillId="0" borderId="14" xfId="44" applyFont="1" applyBorder="1" applyAlignment="1">
      <alignment horizontal="left" vertical="center"/>
    </xf>
    <xf numFmtId="0" fontId="5" fillId="0" borderId="12" xfId="0" applyFont="1" applyBorder="1" applyAlignment="1">
      <alignment horizontal="left" vertical="center"/>
    </xf>
    <xf numFmtId="0" fontId="5" fillId="0" borderId="15" xfId="0" applyFont="1" applyBorder="1" applyAlignment="1">
      <alignment horizontal="left" vertical="center"/>
    </xf>
    <xf numFmtId="0" fontId="9" fillId="0" borderId="14" xfId="44" applyFont="1" applyBorder="1" applyAlignment="1">
      <alignment horizontal="left" vertical="center"/>
    </xf>
    <xf numFmtId="0" fontId="5" fillId="0" borderId="14" xfId="0" applyFont="1" applyBorder="1" applyAlignment="1">
      <alignment horizontal="left" vertical="center"/>
    </xf>
    <xf numFmtId="49" fontId="5" fillId="0" borderId="14" xfId="44" applyNumberFormat="1" applyFont="1" applyBorder="1" applyAlignment="1">
      <alignment horizontal="left" vertical="center"/>
    </xf>
    <xf numFmtId="0" fontId="5" fillId="24" borderId="16" xfId="56" applyFont="1" applyFill="1" applyBorder="1" applyAlignment="1">
      <alignment horizontal="center" vertical="center" wrapText="1"/>
    </xf>
    <xf numFmtId="0" fontId="5" fillId="24" borderId="19" xfId="56" applyFont="1" applyFill="1" applyBorder="1" applyAlignment="1">
      <alignment horizontal="center" vertical="center" wrapText="1"/>
    </xf>
    <xf numFmtId="4" fontId="5" fillId="24" borderId="16" xfId="56" applyNumberFormat="1" applyFont="1" applyFill="1" applyBorder="1" applyAlignment="1">
      <alignment horizontal="center" vertical="center" wrapText="1"/>
    </xf>
    <xf numFmtId="4" fontId="5" fillId="24" borderId="19" xfId="56" applyNumberFormat="1" applyFont="1" applyFill="1" applyBorder="1" applyAlignment="1">
      <alignment horizontal="center" vertical="center" wrapText="1"/>
    </xf>
    <xf numFmtId="0" fontId="5" fillId="0" borderId="0" xfId="56" applyFont="1" applyAlignment="1">
      <alignment horizontal="left" vertical="center" wrapText="1"/>
    </xf>
    <xf numFmtId="0" fontId="5" fillId="0" borderId="11" xfId="56" applyFont="1" applyBorder="1" applyAlignment="1">
      <alignment horizontal="left" vertical="center" wrapText="1"/>
    </xf>
    <xf numFmtId="0" fontId="5" fillId="24" borderId="16" xfId="56" applyFont="1" applyFill="1" applyBorder="1" applyAlignment="1">
      <alignment horizontal="center" vertical="center"/>
    </xf>
    <xf numFmtId="0" fontId="5" fillId="24" borderId="19" xfId="56" applyFont="1" applyFill="1" applyBorder="1" applyAlignment="1">
      <alignment horizontal="center" vertical="center"/>
    </xf>
    <xf numFmtId="0" fontId="5" fillId="24" borderId="20" xfId="56" applyFont="1" applyFill="1" applyBorder="1" applyAlignment="1">
      <alignment horizontal="center" vertical="center" wrapText="1"/>
    </xf>
    <xf numFmtId="0" fontId="5" fillId="24" borderId="17" xfId="56" applyFont="1" applyFill="1" applyBorder="1" applyAlignment="1">
      <alignment horizontal="center" vertical="center" wrapText="1"/>
    </xf>
    <xf numFmtId="4" fontId="5" fillId="24" borderId="16" xfId="47" applyNumberFormat="1" applyFont="1" applyFill="1" applyBorder="1" applyAlignment="1">
      <alignment horizontal="center" vertical="center" wrapText="1"/>
    </xf>
    <xf numFmtId="4" fontId="5" fillId="24" borderId="19" xfId="47" applyNumberFormat="1" applyFont="1" applyFill="1" applyBorder="1" applyAlignment="1">
      <alignment horizontal="center" vertical="center" wrapText="1"/>
    </xf>
    <xf numFmtId="0" fontId="5" fillId="0" borderId="0" xfId="56" applyFont="1" applyAlignment="1">
      <alignment horizontal="center" vertical="center" wrapText="1"/>
    </xf>
    <xf numFmtId="0" fontId="5" fillId="0" borderId="11" xfId="56" applyFont="1" applyBorder="1" applyAlignment="1">
      <alignment horizontal="center" vertical="center" wrapText="1"/>
    </xf>
    <xf numFmtId="0" fontId="1" fillId="0" borderId="14" xfId="62" applyFont="1" applyBorder="1" applyAlignment="1">
      <alignment horizontal="center" wrapText="1"/>
    </xf>
    <xf numFmtId="0" fontId="1" fillId="0" borderId="12" xfId="62" applyFont="1" applyBorder="1" applyAlignment="1">
      <alignment horizontal="center" wrapText="1"/>
    </xf>
    <xf numFmtId="0" fontId="1" fillId="0" borderId="15" xfId="62" applyFont="1" applyBorder="1" applyAlignment="1">
      <alignment horizontal="center" wrapText="1"/>
    </xf>
    <xf numFmtId="0" fontId="1" fillId="0" borderId="14" xfId="62" applyFont="1" applyBorder="1" applyAlignment="1">
      <alignment horizontal="center" vertical="center" wrapText="1"/>
    </xf>
    <xf numFmtId="0" fontId="1" fillId="0" borderId="12" xfId="62" applyFont="1" applyBorder="1" applyAlignment="1">
      <alignment horizontal="center" vertical="center" wrapText="1"/>
    </xf>
    <xf numFmtId="0" fontId="1" fillId="0" borderId="15" xfId="62" applyFont="1" applyBorder="1" applyAlignment="1">
      <alignment horizontal="center" vertical="center" wrapText="1"/>
    </xf>
  </cellXfs>
  <cellStyles count="63">
    <cellStyle name="20% - Akzent1 2" xfId="1" xr:uid="{00000000-0005-0000-0000-000000000000}"/>
    <cellStyle name="20% - Akzent2 2" xfId="2" xr:uid="{00000000-0005-0000-0000-000001000000}"/>
    <cellStyle name="20% - Akzent3 2" xfId="3" xr:uid="{00000000-0005-0000-0000-000002000000}"/>
    <cellStyle name="20% - Akzent4 2" xfId="4" xr:uid="{00000000-0005-0000-0000-000003000000}"/>
    <cellStyle name="20% - Akzent5 2" xfId="5" xr:uid="{00000000-0005-0000-0000-000004000000}"/>
    <cellStyle name="20% - Akzent6 2" xfId="6" xr:uid="{00000000-0005-0000-0000-000005000000}"/>
    <cellStyle name="40% - Akzent1 2" xfId="7" xr:uid="{00000000-0005-0000-0000-000006000000}"/>
    <cellStyle name="40% - Akzent2 2" xfId="8" xr:uid="{00000000-0005-0000-0000-000007000000}"/>
    <cellStyle name="40% - Akzent3 2" xfId="9" xr:uid="{00000000-0005-0000-0000-000008000000}"/>
    <cellStyle name="40% - Akzent4 2" xfId="10" xr:uid="{00000000-0005-0000-0000-000009000000}"/>
    <cellStyle name="40% - Akzent5 2" xfId="11" xr:uid="{00000000-0005-0000-0000-00000A000000}"/>
    <cellStyle name="40% - Akzent6 2" xfId="12" xr:uid="{00000000-0005-0000-0000-00000B000000}"/>
    <cellStyle name="60% - Akzent1 2" xfId="13" xr:uid="{00000000-0005-0000-0000-00000C000000}"/>
    <cellStyle name="60% - Akzent2 2" xfId="14" xr:uid="{00000000-0005-0000-0000-00000D000000}"/>
    <cellStyle name="60% - Akzent3 2" xfId="15" xr:uid="{00000000-0005-0000-0000-00000E000000}"/>
    <cellStyle name="60% - Akzent4 2" xfId="16" xr:uid="{00000000-0005-0000-0000-00000F000000}"/>
    <cellStyle name="60% - Akzent5 2" xfId="17" xr:uid="{00000000-0005-0000-0000-000010000000}"/>
    <cellStyle name="60% - Akzent6 2" xfId="18" xr:uid="{00000000-0005-0000-0000-000011000000}"/>
    <cellStyle name="Akzent1 2" xfId="19" xr:uid="{00000000-0005-0000-0000-000012000000}"/>
    <cellStyle name="Akzent2 2" xfId="20" xr:uid="{00000000-0005-0000-0000-000013000000}"/>
    <cellStyle name="Akzent3 2" xfId="21" xr:uid="{00000000-0005-0000-0000-000014000000}"/>
    <cellStyle name="Akzent4 2" xfId="22" xr:uid="{00000000-0005-0000-0000-000015000000}"/>
    <cellStyle name="Akzent5 2" xfId="23" xr:uid="{00000000-0005-0000-0000-000016000000}"/>
    <cellStyle name="Akzent6 2" xfId="24" xr:uid="{00000000-0005-0000-0000-000017000000}"/>
    <cellStyle name="Ausgabe 2" xfId="25" xr:uid="{00000000-0005-0000-0000-000018000000}"/>
    <cellStyle name="Berechnung 2" xfId="26" xr:uid="{00000000-0005-0000-0000-000019000000}"/>
    <cellStyle name="Eingabe 2" xfId="27" xr:uid="{00000000-0005-0000-0000-00001A000000}"/>
    <cellStyle name="Ergebnis 2" xfId="28" xr:uid="{00000000-0005-0000-0000-00001B000000}"/>
    <cellStyle name="Erklärender Text 2" xfId="29" xr:uid="{00000000-0005-0000-0000-00001C000000}"/>
    <cellStyle name="Euro" xfId="30" xr:uid="{00000000-0005-0000-0000-00001D000000}"/>
    <cellStyle name="Euro 2" xfId="31" xr:uid="{00000000-0005-0000-0000-00001E000000}"/>
    <cellStyle name="Euro 3" xfId="32" xr:uid="{00000000-0005-0000-0000-00001F000000}"/>
    <cellStyle name="Gut 2" xfId="33" xr:uid="{00000000-0005-0000-0000-000020000000}"/>
    <cellStyle name="Hyperlink 2" xfId="34" xr:uid="{00000000-0005-0000-0000-000021000000}"/>
    <cellStyle name="Hyperlink 2 2" xfId="35" xr:uid="{00000000-0005-0000-0000-000022000000}"/>
    <cellStyle name="Hyperlink 2_Stundenverrechnungssatzkalkulation Unterhalts-Grund-Glasreinigung" xfId="36" xr:uid="{00000000-0005-0000-0000-000023000000}"/>
    <cellStyle name="Hyperlink_ERK Sicht- und Vollreinigungrf" xfId="37" xr:uid="{00000000-0005-0000-0000-000024000000}"/>
    <cellStyle name="Hyperlink_Tabelle1 2" xfId="60" xr:uid="{26C4F5BF-AB6A-4865-A0FE-CA8287DD32F9}"/>
    <cellStyle name="Komma 2" xfId="38" xr:uid="{00000000-0005-0000-0000-000026000000}"/>
    <cellStyle name="Link" xfId="39" builtinId="8"/>
    <cellStyle name="Link 2" xfId="61" xr:uid="{89552312-80C8-41E8-8BC3-D0AE3C9A9E31}"/>
    <cellStyle name="Link 3" xfId="57" xr:uid="{57A2AD7F-9443-4742-9233-41E9E4ADE050}"/>
    <cellStyle name="Neutral 2" xfId="40" xr:uid="{00000000-0005-0000-0000-000028000000}"/>
    <cellStyle name="Notiz 2" xfId="41" xr:uid="{00000000-0005-0000-0000-000029000000}"/>
    <cellStyle name="Schlecht 2" xfId="42" xr:uid="{00000000-0005-0000-0000-00002A000000}"/>
    <cellStyle name="Standard" xfId="0" builtinId="0"/>
    <cellStyle name="Standard 2" xfId="43" xr:uid="{00000000-0005-0000-0000-00002C000000}"/>
    <cellStyle name="Standard 2 2" xfId="56" xr:uid="{9271D7D4-DD00-4BDA-AD8D-A2E81E1F1DC0}"/>
    <cellStyle name="Standard 3" xfId="44" xr:uid="{00000000-0005-0000-0000-00002D000000}"/>
    <cellStyle name="Standard 4" xfId="45" xr:uid="{00000000-0005-0000-0000-00002E000000}"/>
    <cellStyle name="Standard 5" xfId="46" xr:uid="{00000000-0005-0000-0000-00002F000000}"/>
    <cellStyle name="Standard 6" xfId="59" xr:uid="{4045BEC2-7581-41A7-A782-533FFF685E66}"/>
    <cellStyle name="Standard 7" xfId="58" xr:uid="{ADCBA415-3384-4DC5-B28D-34E9C91EE81E}"/>
    <cellStyle name="Standard 7 2" xfId="62" xr:uid="{F6CAFBC1-FC3D-4C1F-8E60-9F9BDA3A0DCE}"/>
    <cellStyle name="Standard_Kal Sonder Bed_1" xfId="47" xr:uid="{00000000-0005-0000-0000-000030000000}"/>
    <cellStyle name="Überschrift 1 2" xfId="48" xr:uid="{00000000-0005-0000-0000-000031000000}"/>
    <cellStyle name="Überschrift 2 2" xfId="49" xr:uid="{00000000-0005-0000-0000-000032000000}"/>
    <cellStyle name="Überschrift 3 2" xfId="50" xr:uid="{00000000-0005-0000-0000-000033000000}"/>
    <cellStyle name="Überschrift 4 2" xfId="51" xr:uid="{00000000-0005-0000-0000-000034000000}"/>
    <cellStyle name="Überschrift 5" xfId="52" xr:uid="{00000000-0005-0000-0000-000035000000}"/>
    <cellStyle name="Verknüpfte Zelle 2" xfId="53" xr:uid="{00000000-0005-0000-0000-000036000000}"/>
    <cellStyle name="Warnender Text 2" xfId="54" xr:uid="{00000000-0005-0000-0000-000037000000}"/>
    <cellStyle name="Zelle überprüfen 2" xfId="55" xr:uid="{00000000-0005-0000-0000-000038000000}"/>
  </cellStyles>
  <dxfs count="187">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b/>
        <i val="0"/>
        <color rgb="FFC00000"/>
      </font>
    </dxf>
    <dxf>
      <font>
        <b/>
        <i val="0"/>
        <color rgb="FFC00000"/>
      </font>
    </dxf>
    <dxf>
      <fill>
        <patternFill>
          <fgColor indexed="64"/>
          <bgColor rgb="FFFFC7CE"/>
        </patternFill>
      </fill>
    </dxf>
    <dxf>
      <fill>
        <patternFill>
          <fgColor indexed="64"/>
          <bgColor indexed="13"/>
        </patternFill>
      </fill>
    </dxf>
    <dxf>
      <font>
        <color theme="0"/>
      </font>
      <fill>
        <patternFill>
          <fgColor indexed="64"/>
          <bgColor theme="0"/>
        </patternFill>
      </fill>
    </dxf>
    <dxf>
      <font>
        <color theme="0"/>
      </font>
      <fill>
        <patternFill>
          <fgColor indexed="64"/>
          <bgColor theme="0"/>
        </patternFill>
      </fill>
    </dxf>
    <dxf>
      <font>
        <b/>
        <i val="0"/>
        <color rgb="FFC00000"/>
      </font>
    </dxf>
    <dxf>
      <font>
        <b/>
        <i val="0"/>
        <color rgb="FFC00000"/>
      </font>
    </dxf>
    <dxf>
      <font>
        <b/>
        <i val="0"/>
        <color rgb="FFC00000"/>
      </font>
    </dxf>
    <dxf>
      <font>
        <b/>
        <i val="0"/>
        <color rgb="FFC00000"/>
      </font>
    </dxf>
    <dxf>
      <font>
        <b/>
        <i val="0"/>
        <color rgb="FFC00000"/>
      </font>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b/>
        <i val="0"/>
        <color rgb="FFC00000"/>
      </font>
    </dxf>
    <dxf>
      <font>
        <b/>
        <i val="0"/>
        <color rgb="FFC00000"/>
      </font>
    </dxf>
    <dxf>
      <fill>
        <patternFill>
          <fgColor indexed="64"/>
          <bgColor rgb="FFFFC7CE"/>
        </patternFill>
      </fill>
    </dxf>
    <dxf>
      <fill>
        <patternFill>
          <fgColor indexed="64"/>
          <bgColor indexed="13"/>
        </patternFill>
      </fill>
    </dxf>
    <dxf>
      <font>
        <color theme="0"/>
      </font>
      <fill>
        <patternFill>
          <fgColor indexed="64"/>
          <bgColor theme="0"/>
        </patternFill>
      </fill>
    </dxf>
    <dxf>
      <font>
        <color theme="0"/>
      </font>
      <fill>
        <patternFill>
          <fgColor indexed="64"/>
          <bgColor theme="0"/>
        </patternFill>
      </fill>
    </dxf>
    <dxf>
      <font>
        <b/>
        <i val="0"/>
        <color rgb="FFC00000"/>
      </font>
    </dxf>
    <dxf>
      <font>
        <b/>
        <i val="0"/>
        <color rgb="FFC00000"/>
      </font>
    </dxf>
    <dxf>
      <font>
        <b/>
        <i val="0"/>
        <color rgb="FFC00000"/>
      </font>
    </dxf>
    <dxf>
      <font>
        <b/>
        <i val="0"/>
        <color rgb="FFC00000"/>
      </font>
    </dxf>
    <dxf>
      <font>
        <b/>
        <i val="0"/>
        <color rgb="FFC00000"/>
      </font>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b/>
        <i val="0"/>
        <color rgb="FFC00000"/>
      </font>
    </dxf>
    <dxf>
      <font>
        <b/>
        <i val="0"/>
        <color rgb="FFC00000"/>
      </font>
    </dxf>
    <dxf>
      <fill>
        <patternFill>
          <fgColor indexed="64"/>
          <bgColor rgb="FFFFC7CE"/>
        </patternFill>
      </fill>
    </dxf>
    <dxf>
      <fill>
        <patternFill>
          <fgColor indexed="64"/>
          <bgColor indexed="13"/>
        </patternFill>
      </fill>
    </dxf>
    <dxf>
      <font>
        <color theme="0"/>
      </font>
      <fill>
        <patternFill>
          <fgColor indexed="64"/>
          <bgColor theme="0"/>
        </patternFill>
      </fill>
    </dxf>
    <dxf>
      <font>
        <color theme="0"/>
      </font>
      <fill>
        <patternFill>
          <fgColor indexed="64"/>
          <bgColor theme="0"/>
        </patternFill>
      </fill>
    </dxf>
    <dxf>
      <font>
        <b/>
        <i val="0"/>
        <color rgb="FFC00000"/>
      </font>
    </dxf>
    <dxf>
      <font>
        <b/>
        <i val="0"/>
        <color rgb="FFC00000"/>
      </font>
    </dxf>
    <dxf>
      <font>
        <b/>
        <i val="0"/>
        <color rgb="FFC00000"/>
      </font>
    </dxf>
    <dxf>
      <font>
        <b/>
        <i val="0"/>
        <color rgb="FFC00000"/>
      </font>
    </dxf>
    <dxf>
      <font>
        <b/>
        <i val="0"/>
        <color rgb="FFC00000"/>
      </font>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b/>
        <i val="0"/>
        <color rgb="FFC00000"/>
      </font>
    </dxf>
    <dxf>
      <font>
        <b/>
        <i val="0"/>
        <color rgb="FFC00000"/>
      </font>
    </dxf>
    <dxf>
      <fill>
        <patternFill>
          <fgColor indexed="64"/>
          <bgColor rgb="FFFFC7CE"/>
        </patternFill>
      </fill>
    </dxf>
    <dxf>
      <fill>
        <patternFill>
          <fgColor indexed="64"/>
          <bgColor indexed="13"/>
        </patternFill>
      </fill>
    </dxf>
    <dxf>
      <font>
        <color theme="0"/>
      </font>
      <fill>
        <patternFill>
          <fgColor indexed="64"/>
          <bgColor theme="0"/>
        </patternFill>
      </fill>
    </dxf>
    <dxf>
      <font>
        <color theme="0"/>
      </font>
      <fill>
        <patternFill>
          <fgColor indexed="64"/>
          <bgColor theme="0"/>
        </patternFill>
      </fill>
    </dxf>
    <dxf>
      <font>
        <b/>
        <i val="0"/>
        <color rgb="FFC00000"/>
      </font>
    </dxf>
    <dxf>
      <font>
        <b/>
        <i val="0"/>
        <color rgb="FFC00000"/>
      </font>
    </dxf>
    <dxf>
      <font>
        <b/>
        <i val="0"/>
        <color rgb="FFC00000"/>
      </font>
    </dxf>
    <dxf>
      <font>
        <b/>
        <i val="0"/>
        <color rgb="FFC00000"/>
      </font>
    </dxf>
    <dxf>
      <font>
        <b/>
        <i val="0"/>
        <color rgb="FFC00000"/>
      </font>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86"/>
      <tableStyleElement type="headerRow" dxfId="185"/>
    </tableStyle>
  </tableStyles>
  <colors>
    <mruColors>
      <color rgb="FFFF0000"/>
      <color rgb="FFABFFAB"/>
      <color rgb="FF99FF99"/>
      <color rgb="FF66FF66"/>
      <color rgb="FFC7E6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trlProps/ctrlProp1.xml><?xml version="1.0" encoding="utf-8"?>
<formControlPr xmlns="http://schemas.microsoft.com/office/spreadsheetml/2009/9/main" objectType="CheckBox" fmlaLink="H3" lockText="1"/>
</file>

<file path=xl/ctrlProps/ctrlProp2.xml><?xml version="1.0" encoding="utf-8"?>
<formControlPr xmlns="http://schemas.microsoft.com/office/spreadsheetml/2009/9/main" objectType="CheckBox" fmlaLink="$H$4" lockText="1"/>
</file>

<file path=xl/ctrlProps/ctrlProp3.xml><?xml version="1.0" encoding="utf-8"?>
<formControlPr xmlns="http://schemas.microsoft.com/office/spreadsheetml/2009/9/main" objectType="CheckBox" fmlaLink="$H$5" lockText="1"/>
</file>

<file path=xl/ctrlProps/ctrlProp4.xml><?xml version="1.0" encoding="utf-8"?>
<formControlPr xmlns="http://schemas.microsoft.com/office/spreadsheetml/2009/9/main" objectType="CheckBox" fmlaLink="B2" lockText="1"/>
</file>

<file path=xl/ctrlProps/ctrlProp5.xml><?xml version="1.0" encoding="utf-8"?>
<formControlPr xmlns="http://schemas.microsoft.com/office/spreadsheetml/2009/9/main" objectType="CheckBox" fmlaLink="B2" lockText="1"/>
</file>

<file path=xl/ctrlProps/ctrlProp6.xml><?xml version="1.0" encoding="utf-8"?>
<formControlPr xmlns="http://schemas.microsoft.com/office/spreadsheetml/2009/9/main" objectType="CheckBox" fmlaLink="D1" lockText="1"/>
</file>

<file path=xl/ctrlProps/ctrlProp7.xml><?xml version="1.0" encoding="utf-8"?>
<formControlPr xmlns="http://schemas.microsoft.com/office/spreadsheetml/2009/9/main" objectType="CheckBox" fmlaLink="D2" lockText="1"/>
</file>

<file path=xl/ctrlProps/ctrlProp8.xml><?xml version="1.0" encoding="utf-8"?>
<formControlPr xmlns="http://schemas.microsoft.com/office/spreadsheetml/2009/9/main" objectType="CheckBox" fmlaLink="D1" lockText="1"/>
</file>

<file path=xl/ctrlProps/ctrlProp9.xml><?xml version="1.0" encoding="utf-8"?>
<formControlPr xmlns="http://schemas.microsoft.com/office/spreadsheetml/2009/9/main" objectType="CheckBox" fmlaLink="D2" lockText="1"/>
</file>

<file path=xl/ctrlProps/ctrlProp10.xml><?xml version="1.0" encoding="utf-8"?>
<formControlPr xmlns="http://schemas.microsoft.com/office/spreadsheetml/2009/9/main" objectType="CheckBox" fmlaLink="D1" lockText="1"/>
</file>

<file path=xl/ctrlProps/ctrlProp11.xml><?xml version="1.0" encoding="utf-8"?>
<formControlPr xmlns="http://schemas.microsoft.com/office/spreadsheetml/2009/9/main" objectType="CheckBox" fmlaLink="D2" lockText="1"/>
</file>

<file path=xl/ctrlProps/ctrlProp12.xml><?xml version="1.0" encoding="utf-8"?>
<formControlPr xmlns="http://schemas.microsoft.com/office/spreadsheetml/2009/9/main" objectType="CheckBox" fmlaLink="D1" lockText="1"/>
</file>

<file path=xl/ctrlProps/ctrlProp13.xml><?xml version="1.0" encoding="utf-8"?>
<formControlPr xmlns="http://schemas.microsoft.com/office/spreadsheetml/2009/9/main" objectType="CheckBox" fmlaLink="D2" lockText="1"/>
</file>

<file path=xl/ctrlProps/ctrlProp14.xml><?xml version="1.0" encoding="utf-8"?>
<formControlPr xmlns="http://schemas.microsoft.com/office/spreadsheetml/2009/9/main" objectType="CheckBox" fmlaLink="D1" lockText="1"/>
</file>

<file path=xl/ctrlProps/ctrlProp15.xml><?xml version="1.0" encoding="utf-8"?>
<formControlPr xmlns="http://schemas.microsoft.com/office/spreadsheetml/2009/9/main" objectType="CheckBox" fmlaLink="D2" lockText="1"/>
</file>

<file path=xl/ctrlProps/ctrlProp16.xml><?xml version="1.0" encoding="utf-8"?>
<formControlPr xmlns="http://schemas.microsoft.com/office/spreadsheetml/2009/9/main" objectType="CheckBox" fmlaLink="M2" lockText="1"/>
</file>

<file path=xl/ctrlProps/ctrlProp17.xml><?xml version="1.0" encoding="utf-8"?>
<formControlPr xmlns="http://schemas.microsoft.com/office/spreadsheetml/2009/9/main" objectType="CheckBox" fmlaLink="M3" lockText="1"/>
</file>

<file path=xl/ctrlProps/ctrlProp18.xml><?xml version="1.0" encoding="utf-8"?>
<formControlPr xmlns="http://schemas.microsoft.com/office/spreadsheetml/2009/9/main" objectType="CheckBox" fmlaLink="M4" lockText="1"/>
</file>

<file path=xl/ctrlProps/ctrlProp19.xml><?xml version="1.0" encoding="utf-8"?>
<formControlPr xmlns="http://schemas.microsoft.com/office/spreadsheetml/2009/9/main" objectType="CheckBox" fmlaLink="M5" lockText="1"/>
</file>

<file path=xl/ctrlProps/ctrlProp20.xml><?xml version="1.0" encoding="utf-8"?>
<formControlPr xmlns="http://schemas.microsoft.com/office/spreadsheetml/2009/9/main" objectType="CheckBox" fmlaLink="M2" lockText="1"/>
</file>

<file path=xl/ctrlProps/ctrlProp21.xml><?xml version="1.0" encoding="utf-8"?>
<formControlPr xmlns="http://schemas.microsoft.com/office/spreadsheetml/2009/9/main" objectType="CheckBox" fmlaLink="M3" lockText="1"/>
</file>

<file path=xl/ctrlProps/ctrlProp22.xml><?xml version="1.0" encoding="utf-8"?>
<formControlPr xmlns="http://schemas.microsoft.com/office/spreadsheetml/2009/9/main" objectType="CheckBox" fmlaLink="M4" lockText="1"/>
</file>

<file path=xl/ctrlProps/ctrlProp23.xml><?xml version="1.0" encoding="utf-8"?>
<formControlPr xmlns="http://schemas.microsoft.com/office/spreadsheetml/2009/9/main" objectType="CheckBox" fmlaLink="M5" lockText="1"/>
</file>

<file path=xl/ctrlProps/ctrlProp24.xml><?xml version="1.0" encoding="utf-8"?>
<formControlPr xmlns="http://schemas.microsoft.com/office/spreadsheetml/2009/9/main" objectType="CheckBox" fmlaLink="M2" lockText="1"/>
</file>

<file path=xl/ctrlProps/ctrlProp25.xml><?xml version="1.0" encoding="utf-8"?>
<formControlPr xmlns="http://schemas.microsoft.com/office/spreadsheetml/2009/9/main" objectType="CheckBox" fmlaLink="M3" lockText="1"/>
</file>

<file path=xl/ctrlProps/ctrlProp26.xml><?xml version="1.0" encoding="utf-8"?>
<formControlPr xmlns="http://schemas.microsoft.com/office/spreadsheetml/2009/9/main" objectType="CheckBox" fmlaLink="M4" lockText="1"/>
</file>

<file path=xl/ctrlProps/ctrlProp27.xml><?xml version="1.0" encoding="utf-8"?>
<formControlPr xmlns="http://schemas.microsoft.com/office/spreadsheetml/2009/9/main" objectType="CheckBox" fmlaLink="M5" lockText="1"/>
</file>

<file path=xl/ctrlProps/ctrlProp28.xml><?xml version="1.0" encoding="utf-8"?>
<formControlPr xmlns="http://schemas.microsoft.com/office/spreadsheetml/2009/9/main" objectType="CheckBox" fmlaLink="M2" lockText="1"/>
</file>

<file path=xl/ctrlProps/ctrlProp29.xml><?xml version="1.0" encoding="utf-8"?>
<formControlPr xmlns="http://schemas.microsoft.com/office/spreadsheetml/2009/9/main" objectType="CheckBox" fmlaLink="M3" lockText="1"/>
</file>

<file path=xl/ctrlProps/ctrlProp30.xml><?xml version="1.0" encoding="utf-8"?>
<formControlPr xmlns="http://schemas.microsoft.com/office/spreadsheetml/2009/9/main" objectType="CheckBox" fmlaLink="M4" lockText="1"/>
</file>

<file path=xl/ctrlProps/ctrlProp31.xml><?xml version="1.0" encoding="utf-8"?>
<formControlPr xmlns="http://schemas.microsoft.com/office/spreadsheetml/2009/9/main" objectType="CheckBox" fmlaLink="M5" lockText="1"/>
</file>

<file path=xl/ctrlProps/ctrlProp32.xml><?xml version="1.0" encoding="utf-8"?>
<formControlPr xmlns="http://schemas.microsoft.com/office/spreadsheetml/2009/9/main" objectType="CheckBox" fmlaLink="M2" lockText="1"/>
</file>

<file path=xl/ctrlProps/ctrlProp33.xml><?xml version="1.0" encoding="utf-8"?>
<formControlPr xmlns="http://schemas.microsoft.com/office/spreadsheetml/2009/9/main" objectType="CheckBox" fmlaLink="M3" lockText="1"/>
</file>

<file path=xl/ctrlProps/ctrlProp34.xml><?xml version="1.0" encoding="utf-8"?>
<formControlPr xmlns="http://schemas.microsoft.com/office/spreadsheetml/2009/9/main" objectType="CheckBox" fmlaLink="M4" lockText="1"/>
</file>

<file path=xl/ctrlProps/ctrlProp35.xml><?xml version="1.0" encoding="utf-8"?>
<formControlPr xmlns="http://schemas.microsoft.com/office/spreadsheetml/2009/9/main" objectType="CheckBox" fmlaLink="M5" lockText="1"/>
</file>

<file path=xl/ctrlProps/ctrlProp36.xml><?xml version="1.0" encoding="utf-8"?>
<formControlPr xmlns="http://schemas.microsoft.com/office/spreadsheetml/2009/9/main" objectType="CheckBox" fmlaLink="M2" lockText="1"/>
</file>

<file path=xl/ctrlProps/ctrlProp37.xml><?xml version="1.0" encoding="utf-8"?>
<formControlPr xmlns="http://schemas.microsoft.com/office/spreadsheetml/2009/9/main" objectType="CheckBox" fmlaLink="M3" lockText="1"/>
</file>

<file path=xl/ctrlProps/ctrlProp38.xml><?xml version="1.0" encoding="utf-8"?>
<formControlPr xmlns="http://schemas.microsoft.com/office/spreadsheetml/2009/9/main" objectType="CheckBox" fmlaLink="M4" lockText="1"/>
</file>

<file path=xl/ctrlProps/ctrlProp39.xml><?xml version="1.0" encoding="utf-8"?>
<formControlPr xmlns="http://schemas.microsoft.com/office/spreadsheetml/2009/9/main" objectType="CheckBox" fmlaLink="M5" lockText="1"/>
</file>

<file path=xl/ctrlProps/ctrlProp40.xml><?xml version="1.0" encoding="utf-8"?>
<formControlPr xmlns="http://schemas.microsoft.com/office/spreadsheetml/2009/9/main" objectType="CheckBox" fmlaLink="M2" lockText="1"/>
</file>

<file path=xl/ctrlProps/ctrlProp41.xml><?xml version="1.0" encoding="utf-8"?>
<formControlPr xmlns="http://schemas.microsoft.com/office/spreadsheetml/2009/9/main" objectType="CheckBox" fmlaLink="M3" lockText="1"/>
</file>

<file path=xl/ctrlProps/ctrlProp42.xml><?xml version="1.0" encoding="utf-8"?>
<formControlPr xmlns="http://schemas.microsoft.com/office/spreadsheetml/2009/9/main" objectType="CheckBox" fmlaLink="M4" lockText="1"/>
</file>

<file path=xl/ctrlProps/ctrlProp43.xml><?xml version="1.0" encoding="utf-8"?>
<formControlPr xmlns="http://schemas.microsoft.com/office/spreadsheetml/2009/9/main" objectType="CheckBox" fmlaLink="M5" lockText="1"/>
</file>

<file path=xl/ctrlProps/ctrlProp44.xml><?xml version="1.0" encoding="utf-8"?>
<formControlPr xmlns="http://schemas.microsoft.com/office/spreadsheetml/2009/9/main" objectType="CheckBox" fmlaLink="M2" lockText="1"/>
</file>

<file path=xl/ctrlProps/ctrlProp45.xml><?xml version="1.0" encoding="utf-8"?>
<formControlPr xmlns="http://schemas.microsoft.com/office/spreadsheetml/2009/9/main" objectType="CheckBox" fmlaLink="M3" lockText="1"/>
</file>

<file path=xl/ctrlProps/ctrlProp46.xml><?xml version="1.0" encoding="utf-8"?>
<formControlPr xmlns="http://schemas.microsoft.com/office/spreadsheetml/2009/9/main" objectType="CheckBox" fmlaLink="M4" lockText="1"/>
</file>

<file path=xl/ctrlProps/ctrlProp47.xml><?xml version="1.0" encoding="utf-8"?>
<formControlPr xmlns="http://schemas.microsoft.com/office/spreadsheetml/2009/9/main" objectType="CheckBox" fmlaLink="M5" lockText="1"/>
</file>

<file path=xl/ctrlProps/ctrlProp48.xml><?xml version="1.0" encoding="utf-8"?>
<formControlPr xmlns="http://schemas.microsoft.com/office/spreadsheetml/2009/9/main" objectType="CheckBox" fmlaLink="M2" lockText="1"/>
</file>

<file path=xl/ctrlProps/ctrlProp49.xml><?xml version="1.0" encoding="utf-8"?>
<formControlPr xmlns="http://schemas.microsoft.com/office/spreadsheetml/2009/9/main" objectType="CheckBox" fmlaLink="M3" lockText="1"/>
</file>

<file path=xl/ctrlProps/ctrlProp50.xml><?xml version="1.0" encoding="utf-8"?>
<formControlPr xmlns="http://schemas.microsoft.com/office/spreadsheetml/2009/9/main" objectType="CheckBox" fmlaLink="M4" lockText="1"/>
</file>

<file path=xl/ctrlProps/ctrlProp51.xml><?xml version="1.0" encoding="utf-8"?>
<formControlPr xmlns="http://schemas.microsoft.com/office/spreadsheetml/2009/9/main" objectType="CheckBox" fmlaLink="M5" lockText="1"/>
</file>

<file path=xl/ctrlProps/ctrlProp52.xml><?xml version="1.0" encoding="utf-8"?>
<formControlPr xmlns="http://schemas.microsoft.com/office/spreadsheetml/2009/9/main" objectType="CheckBox" fmlaLink="M2" lockText="1"/>
</file>

<file path=xl/ctrlProps/ctrlProp53.xml><?xml version="1.0" encoding="utf-8"?>
<formControlPr xmlns="http://schemas.microsoft.com/office/spreadsheetml/2009/9/main" objectType="CheckBox" fmlaLink="M3" lockText="1"/>
</file>

<file path=xl/ctrlProps/ctrlProp54.xml><?xml version="1.0" encoding="utf-8"?>
<formControlPr xmlns="http://schemas.microsoft.com/office/spreadsheetml/2009/9/main" objectType="CheckBox" fmlaLink="M4" lockText="1"/>
</file>

<file path=xl/ctrlProps/ctrlProp55.xml><?xml version="1.0" encoding="utf-8"?>
<formControlPr xmlns="http://schemas.microsoft.com/office/spreadsheetml/2009/9/main" objectType="CheckBox" fmlaLink="M5" lockText="1"/>
</file>

<file path=xl/ctrlProps/ctrlProp56.xml><?xml version="1.0" encoding="utf-8"?>
<formControlPr xmlns="http://schemas.microsoft.com/office/spreadsheetml/2009/9/main" objectType="CheckBox" fmlaLink="M2" lockText="1"/>
</file>

<file path=xl/ctrlProps/ctrlProp57.xml><?xml version="1.0" encoding="utf-8"?>
<formControlPr xmlns="http://schemas.microsoft.com/office/spreadsheetml/2009/9/main" objectType="CheckBox" fmlaLink="M3" lockText="1"/>
</file>

<file path=xl/ctrlProps/ctrlProp58.xml><?xml version="1.0" encoding="utf-8"?>
<formControlPr xmlns="http://schemas.microsoft.com/office/spreadsheetml/2009/9/main" objectType="CheckBox" fmlaLink="M4" lockText="1"/>
</file>

<file path=xl/ctrlProps/ctrlProp59.xml><?xml version="1.0" encoding="utf-8"?>
<formControlPr xmlns="http://schemas.microsoft.com/office/spreadsheetml/2009/9/main" objectType="CheckBox" fmlaLink="M5" lockText="1"/>
</file>

<file path=xl/ctrlProps/ctrlProp60.xml><?xml version="1.0" encoding="utf-8"?>
<formControlPr xmlns="http://schemas.microsoft.com/office/spreadsheetml/2009/9/main" objectType="CheckBox" fmlaLink="M2" lockText="1"/>
</file>

<file path=xl/ctrlProps/ctrlProp61.xml><?xml version="1.0" encoding="utf-8"?>
<formControlPr xmlns="http://schemas.microsoft.com/office/spreadsheetml/2009/9/main" objectType="CheckBox" fmlaLink="M3" lockText="1"/>
</file>

<file path=xl/ctrlProps/ctrlProp62.xml><?xml version="1.0" encoding="utf-8"?>
<formControlPr xmlns="http://schemas.microsoft.com/office/spreadsheetml/2009/9/main" objectType="CheckBox" fmlaLink="M4" lockText="1"/>
</file>

<file path=xl/ctrlProps/ctrlProp63.xml><?xml version="1.0" encoding="utf-8"?>
<formControlPr xmlns="http://schemas.microsoft.com/office/spreadsheetml/2009/9/main" objectType="CheckBox" fmlaLink="M5" lockText="1"/>
</file>

<file path=xl/ctrlProps/ctrlProp64.xml><?xml version="1.0" encoding="utf-8"?>
<formControlPr xmlns="http://schemas.microsoft.com/office/spreadsheetml/2009/9/main" objectType="CheckBox" fmlaLink="M2" lockText="1"/>
</file>

<file path=xl/ctrlProps/ctrlProp65.xml><?xml version="1.0" encoding="utf-8"?>
<formControlPr xmlns="http://schemas.microsoft.com/office/spreadsheetml/2009/9/main" objectType="CheckBox" fmlaLink="M3" lockText="1"/>
</file>

<file path=xl/ctrlProps/ctrlProp66.xml><?xml version="1.0" encoding="utf-8"?>
<formControlPr xmlns="http://schemas.microsoft.com/office/spreadsheetml/2009/9/main" objectType="CheckBox" fmlaLink="M4" lockText="1"/>
</file>

<file path=xl/ctrlProps/ctrlProp67.xml><?xml version="1.0" encoding="utf-8"?>
<formControlPr xmlns="http://schemas.microsoft.com/office/spreadsheetml/2009/9/main" objectType="CheckBox" fmlaLink="M5" lockText="1"/>
</file>

<file path=xl/ctrlProps/ctrlProp68.xml><?xml version="1.0" encoding="utf-8"?>
<formControlPr xmlns="http://schemas.microsoft.com/office/spreadsheetml/2009/9/main" objectType="CheckBox" fmlaLink="M2" lockText="1"/>
</file>

<file path=xl/ctrlProps/ctrlProp69.xml><?xml version="1.0" encoding="utf-8"?>
<formControlPr xmlns="http://schemas.microsoft.com/office/spreadsheetml/2009/9/main" objectType="CheckBox" fmlaLink="M3" lockText="1"/>
</file>

<file path=xl/ctrlProps/ctrlProp70.xml><?xml version="1.0" encoding="utf-8"?>
<formControlPr xmlns="http://schemas.microsoft.com/office/spreadsheetml/2009/9/main" objectType="CheckBox" fmlaLink="M4" lockText="1"/>
</file>

<file path=xl/ctrlProps/ctrlProp71.xml><?xml version="1.0" encoding="utf-8"?>
<formControlPr xmlns="http://schemas.microsoft.com/office/spreadsheetml/2009/9/main" objectType="CheckBox" fmlaLink="M5" lockText="1"/>
</file>

<file path=xl/ctrlProps/ctrlProp72.xml><?xml version="1.0" encoding="utf-8"?>
<formControlPr xmlns="http://schemas.microsoft.com/office/spreadsheetml/2009/9/main" objectType="CheckBox" fmlaLink="M2" lockText="1"/>
</file>

<file path=xl/ctrlProps/ctrlProp73.xml><?xml version="1.0" encoding="utf-8"?>
<formControlPr xmlns="http://schemas.microsoft.com/office/spreadsheetml/2009/9/main" objectType="CheckBox" fmlaLink="M3" lockText="1"/>
</file>

<file path=xl/ctrlProps/ctrlProp74.xml><?xml version="1.0" encoding="utf-8"?>
<formControlPr xmlns="http://schemas.microsoft.com/office/spreadsheetml/2009/9/main" objectType="CheckBox" fmlaLink="M4" lockText="1"/>
</file>

<file path=xl/ctrlProps/ctrlProp75.xml><?xml version="1.0" encoding="utf-8"?>
<formControlPr xmlns="http://schemas.microsoft.com/office/spreadsheetml/2009/9/main" objectType="CheckBox" fmlaLink="M5" lockText="1"/>
</file>

<file path=xl/ctrlProps/ctrlProp76.xml><?xml version="1.0" encoding="utf-8"?>
<formControlPr xmlns="http://schemas.microsoft.com/office/spreadsheetml/2009/9/main" objectType="CheckBox" fmlaLink="M2" lockText="1"/>
</file>

<file path=xl/ctrlProps/ctrlProp77.xml><?xml version="1.0" encoding="utf-8"?>
<formControlPr xmlns="http://schemas.microsoft.com/office/spreadsheetml/2009/9/main" objectType="CheckBox" fmlaLink="M3" lockText="1"/>
</file>

<file path=xl/ctrlProps/ctrlProp78.xml><?xml version="1.0" encoding="utf-8"?>
<formControlPr xmlns="http://schemas.microsoft.com/office/spreadsheetml/2009/9/main" objectType="CheckBox" fmlaLink="M4" lockText="1"/>
</file>

<file path=xl/ctrlProps/ctrlProp79.xml><?xml version="1.0" encoding="utf-8"?>
<formControlPr xmlns="http://schemas.microsoft.com/office/spreadsheetml/2009/9/main" objectType="CheckBox" fmlaLink="M5" lockText="1"/>
</file>

<file path=xl/ctrlProps/ctrlProp80.xml><?xml version="1.0" encoding="utf-8"?>
<formControlPr xmlns="http://schemas.microsoft.com/office/spreadsheetml/2009/9/main" objectType="CheckBox" fmlaLink="M2" lockText="1"/>
</file>

<file path=xl/ctrlProps/ctrlProp81.xml><?xml version="1.0" encoding="utf-8"?>
<formControlPr xmlns="http://schemas.microsoft.com/office/spreadsheetml/2009/9/main" objectType="CheckBox" fmlaLink="M3" lockText="1"/>
</file>

<file path=xl/ctrlProps/ctrlProp82.xml><?xml version="1.0" encoding="utf-8"?>
<formControlPr xmlns="http://schemas.microsoft.com/office/spreadsheetml/2009/9/main" objectType="CheckBox" fmlaLink="M4" lockText="1"/>
</file>

<file path=xl/ctrlProps/ctrlProp83.xml><?xml version="1.0" encoding="utf-8"?>
<formControlPr xmlns="http://schemas.microsoft.com/office/spreadsheetml/2009/9/main" objectType="CheckBox" fmlaLink="M5" lockText="1"/>
</file>

<file path=xl/ctrlProps/ctrlProp84.xml><?xml version="1.0" encoding="utf-8"?>
<formControlPr xmlns="http://schemas.microsoft.com/office/spreadsheetml/2009/9/main" objectType="CheckBox" fmlaLink="M2" lockText="1"/>
</file>

<file path=xl/ctrlProps/ctrlProp85.xml><?xml version="1.0" encoding="utf-8"?>
<formControlPr xmlns="http://schemas.microsoft.com/office/spreadsheetml/2009/9/main" objectType="CheckBox" fmlaLink="M3" lockText="1"/>
</file>

<file path=xl/ctrlProps/ctrlProp86.xml><?xml version="1.0" encoding="utf-8"?>
<formControlPr xmlns="http://schemas.microsoft.com/office/spreadsheetml/2009/9/main" objectType="CheckBox" fmlaLink="M4" lockText="1"/>
</file>

<file path=xl/ctrlProps/ctrlProp87.xml><?xml version="1.0" encoding="utf-8"?>
<formControlPr xmlns="http://schemas.microsoft.com/office/spreadsheetml/2009/9/main" objectType="CheckBox" fmlaLink="M5" lockText="1"/>
</file>

<file path=xl/ctrlProps/ctrlProp88.xml><?xml version="1.0" encoding="utf-8"?>
<formControlPr xmlns="http://schemas.microsoft.com/office/spreadsheetml/2009/9/main" objectType="CheckBox" fmlaLink="M2" lockText="1"/>
</file>

<file path=xl/ctrlProps/ctrlProp89.xml><?xml version="1.0" encoding="utf-8"?>
<formControlPr xmlns="http://schemas.microsoft.com/office/spreadsheetml/2009/9/main" objectType="CheckBox" fmlaLink="M3" lockText="1"/>
</file>

<file path=xl/ctrlProps/ctrlProp90.xml><?xml version="1.0" encoding="utf-8"?>
<formControlPr xmlns="http://schemas.microsoft.com/office/spreadsheetml/2009/9/main" objectType="CheckBox" fmlaLink="M4" lockText="1"/>
</file>

<file path=xl/ctrlProps/ctrlProp91.xml><?xml version="1.0" encoding="utf-8"?>
<formControlPr xmlns="http://schemas.microsoft.com/office/spreadsheetml/2009/9/main" objectType="CheckBox" fmlaLink="M5" lockText="1"/>
</file>

<file path=xl/ctrlProps/ctrlProp92.xml><?xml version="1.0" encoding="utf-8"?>
<formControlPr xmlns="http://schemas.microsoft.com/office/spreadsheetml/2009/9/main" objectType="CheckBox" fmlaLink="M2" lockText="1"/>
</file>

<file path=xl/ctrlProps/ctrlProp93.xml><?xml version="1.0" encoding="utf-8"?>
<formControlPr xmlns="http://schemas.microsoft.com/office/spreadsheetml/2009/9/main" objectType="CheckBox" fmlaLink="M3" lockText="1"/>
</file>

<file path=xl/ctrlProps/ctrlProp94.xml><?xml version="1.0" encoding="utf-8"?>
<formControlPr xmlns="http://schemas.microsoft.com/office/spreadsheetml/2009/9/main" objectType="CheckBox" fmlaLink="M4" lockText="1"/>
</file>

<file path=xl/ctrlProps/ctrlProp95.xml><?xml version="1.0" encoding="utf-8"?>
<formControlPr xmlns="http://schemas.microsoft.com/office/spreadsheetml/2009/9/main" objectType="CheckBox" fmlaLink="M5" lockText="1"/>
</file>

<file path=xl/ctrlProps/ctrlProp96.xml><?xml version="1.0" encoding="utf-8"?>
<formControlPr xmlns="http://schemas.microsoft.com/office/spreadsheetml/2009/9/main" objectType="CheckBox" fmlaLink="D2" lockText="1"/>
</file>

<file path=xl/ctrlProps/ctrlProp97.xml><?xml version="1.0" encoding="utf-8"?>
<formControlPr xmlns="http://schemas.microsoft.com/office/spreadsheetml/2009/9/main" objectType="CheckBox" fmlaLink="D3" lockText="1"/>
</file>

<file path=xl/ctrlProps/ctrlProp98.xml><?xml version="1.0" encoding="utf-8"?>
<formControlPr xmlns="http://schemas.microsoft.com/office/spreadsheetml/2009/9/main" objectType="CheckBox" fmlaLink="D2" lockText="1"/>
</file>

<file path=xl/ctrlProps/ctrlProp99.xml><?xml version="1.0" encoding="utf-8"?>
<formControlPr xmlns="http://schemas.microsoft.com/office/spreadsheetml/2009/9/main" objectType="CheckBox" fmlaLink="D2" lockText="1"/>
</file>

<file path=xl/ctrlProps/ctrlProp100.xml><?xml version="1.0" encoding="utf-8"?>
<formControlPr xmlns="http://schemas.microsoft.com/office/spreadsheetml/2009/9/main" objectType="CheckBox" fmlaLink="D3" lockText="1"/>
</file>

<file path=xl/ctrlProps/ctrlProp101.xml><?xml version="1.0" encoding="utf-8"?>
<formControlPr xmlns="http://schemas.microsoft.com/office/spreadsheetml/2009/9/main" objectType="CheckBox" fmlaLink="D2" lockText="1"/>
</file>

<file path=xl/ctrlProps/ctrlProp102.xml><?xml version="1.0" encoding="utf-8"?>
<formControlPr xmlns="http://schemas.microsoft.com/office/spreadsheetml/2009/9/main" objectType="CheckBox" fmlaLink="D3" lockText="1"/>
</file>

<file path=xl/ctrlProps/ctrlProp103.xml><?xml version="1.0" encoding="utf-8"?>
<formControlPr xmlns="http://schemas.microsoft.com/office/spreadsheetml/2009/9/main" objectType="CheckBox" fmlaLink="F2" lockText="1"/>
</file>

<file path=xl/ctrlProps/ctrlProp104.xml><?xml version="1.0" encoding="utf-8"?>
<formControlPr xmlns="http://schemas.microsoft.com/office/spreadsheetml/2009/9/main" objectType="CheckBox" fmlaLink="F3" lockText="1"/>
</file>

<file path=xl/ctrlProps/ctrlProp105.xml><?xml version="1.0" encoding="utf-8"?>
<formControlPr xmlns="http://schemas.microsoft.com/office/spreadsheetml/2009/9/main" objectType="CheckBox" fmlaLink="C2" lockText="1"/>
</file>

<file path=xl/ctrlProps/ctrlProp106.xml><?xml version="1.0" encoding="utf-8"?>
<formControlPr xmlns="http://schemas.microsoft.com/office/spreadsheetml/2009/9/main" objectType="CheckBox" fmlaLink="C3" lockText="1"/>
</file>

<file path=xl/ctrlProps/ctrlProp107.xml><?xml version="1.0" encoding="utf-8"?>
<formControlPr xmlns="http://schemas.microsoft.com/office/spreadsheetml/2009/9/main" objectType="CheckBox" fmlaLink="F2" lockText="1"/>
</file>

<file path=xl/ctrlProps/ctrlProp108.xml><?xml version="1.0" encoding="utf-8"?>
<formControlPr xmlns="http://schemas.microsoft.com/office/spreadsheetml/2009/9/main" objectType="CheckBox" fmlaLink="F3" lockText="1"/>
</file>

<file path=xl/ctrlProps/ctrlProp109.xml><?xml version="1.0" encoding="utf-8"?>
<formControlPr xmlns="http://schemas.microsoft.com/office/spreadsheetml/2009/9/main" objectType="CheckBox" fmlaLink="D2" lockText="1"/>
</file>

<file path=xl/ctrlProps/ctrlProp110.xml><?xml version="1.0" encoding="utf-8"?>
<formControlPr xmlns="http://schemas.microsoft.com/office/spreadsheetml/2009/9/main" objectType="CheckBox" fmlaLink="D3" lockText="1"/>
</file>

<file path=xl/ctrlProps/ctrlProp111.xml><?xml version="1.0" encoding="utf-8"?>
<formControlPr xmlns="http://schemas.microsoft.com/office/spreadsheetml/2009/9/main" objectType="CheckBox" fmlaLink="D1"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2</xdr:row>
          <xdr:rowOff>0</xdr:rowOff>
        </xdr:from>
        <xdr:to>
          <xdr:col>7</xdr:col>
          <xdr:colOff>790575</xdr:colOff>
          <xdr:row>3</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0</xdr:rowOff>
        </xdr:from>
        <xdr:to>
          <xdr:col>7</xdr:col>
          <xdr:colOff>790575</xdr:colOff>
          <xdr:row>4</xdr:row>
          <xdr:rowOff>28575</xdr:rowOff>
        </xdr:to>
        <xdr:sp macro="" textlink="">
          <xdr:nvSpPr>
            <xdr:cNvPr id="1026" name="Check Box 2" descr="Hinweis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19050</xdr:rowOff>
        </xdr:from>
        <xdr:to>
          <xdr:col>7</xdr:col>
          <xdr:colOff>790575</xdr:colOff>
          <xdr:row>5</xdr:row>
          <xdr:rowOff>57150</xdr:rowOff>
        </xdr:to>
        <xdr:sp macro="" textlink="">
          <xdr:nvSpPr>
            <xdr:cNvPr id="1027" name="Check Box 3" descr="Hinweis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xdr:row>
          <xdr:rowOff>28575</xdr:rowOff>
        </xdr:from>
        <xdr:to>
          <xdr:col>1</xdr:col>
          <xdr:colOff>933450</xdr:colOff>
          <xdr:row>1</xdr:row>
          <xdr:rowOff>285750</xdr:rowOff>
        </xdr:to>
        <xdr:sp macro="" textlink="">
          <xdr:nvSpPr>
            <xdr:cNvPr id="2050" name="Check Box 2" descr="Hinweis"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0</xdr:row>
          <xdr:rowOff>285750</xdr:rowOff>
        </xdr:from>
        <xdr:to>
          <xdr:col>1</xdr:col>
          <xdr:colOff>971550</xdr:colOff>
          <xdr:row>1</xdr:row>
          <xdr:rowOff>180975</xdr:rowOff>
        </xdr:to>
        <xdr:sp macro="" textlink="">
          <xdr:nvSpPr>
            <xdr:cNvPr id="3073" name="Check Box 1" descr="Hinweis"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2914650</xdr:colOff>
          <xdr:row>0</xdr:row>
          <xdr:rowOff>123825</xdr:rowOff>
        </xdr:from>
        <xdr:to>
          <xdr:col>3</xdr:col>
          <xdr:colOff>552450</xdr:colOff>
          <xdr:row>0</xdr:row>
          <xdr:rowOff>409575</xdr:rowOff>
        </xdr:to>
        <xdr:sp macro="" textlink="">
          <xdr:nvSpPr>
            <xdr:cNvPr id="26626" name="Check Box 2" descr="Hinweis" hidden="1">
              <a:extLst>
                <a:ext uri="{63B3BB69-23CF-44E3-9099-C40C66FF867C}">
                  <a14:compatExt spid="_x0000_s26626"/>
                </a:ext>
                <a:ext uri="{FF2B5EF4-FFF2-40B4-BE49-F238E27FC236}">
                  <a16:creationId xmlns:a16="http://schemas.microsoft.com/office/drawing/2014/main" id="{00000000-0008-0000-0300-00000268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2914650</xdr:colOff>
          <xdr:row>0</xdr:row>
          <xdr:rowOff>428625</xdr:rowOff>
        </xdr:from>
        <xdr:to>
          <xdr:col>3</xdr:col>
          <xdr:colOff>552450</xdr:colOff>
          <xdr:row>1</xdr:row>
          <xdr:rowOff>276225</xdr:rowOff>
        </xdr:to>
        <xdr:sp macro="" textlink="">
          <xdr:nvSpPr>
            <xdr:cNvPr id="26628" name="Check Box 4" descr="Hinweis" hidden="1">
              <a:extLst>
                <a:ext uri="{63B3BB69-23CF-44E3-9099-C40C66FF867C}">
                  <a14:compatExt spid="_x0000_s26628"/>
                </a:ext>
                <a:ext uri="{FF2B5EF4-FFF2-40B4-BE49-F238E27FC236}">
                  <a16:creationId xmlns:a16="http://schemas.microsoft.com/office/drawing/2014/main" id="{00000000-0008-0000-0300-00000468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2914650</xdr:colOff>
          <xdr:row>0</xdr:row>
          <xdr:rowOff>95250</xdr:rowOff>
        </xdr:from>
        <xdr:to>
          <xdr:col>3</xdr:col>
          <xdr:colOff>552450</xdr:colOff>
          <xdr:row>0</xdr:row>
          <xdr:rowOff>381000</xdr:rowOff>
        </xdr:to>
        <xdr:sp macro="" textlink="">
          <xdr:nvSpPr>
            <xdr:cNvPr id="27649" name="Check Box 1" descr="Hinweis"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2914650</xdr:colOff>
          <xdr:row>0</xdr:row>
          <xdr:rowOff>400050</xdr:rowOff>
        </xdr:from>
        <xdr:to>
          <xdr:col>3</xdr:col>
          <xdr:colOff>552450</xdr:colOff>
          <xdr:row>1</xdr:row>
          <xdr:rowOff>257175</xdr:rowOff>
        </xdr:to>
        <xdr:sp macro="" textlink="">
          <xdr:nvSpPr>
            <xdr:cNvPr id="27650" name="Check Box 2" descr="Hinweis"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2905125</xdr:colOff>
          <xdr:row>0</xdr:row>
          <xdr:rowOff>142875</xdr:rowOff>
        </xdr:from>
        <xdr:to>
          <xdr:col>3</xdr:col>
          <xdr:colOff>542925</xdr:colOff>
          <xdr:row>1</xdr:row>
          <xdr:rowOff>0</xdr:rowOff>
        </xdr:to>
        <xdr:sp macro="" textlink="">
          <xdr:nvSpPr>
            <xdr:cNvPr id="29699" name="Check Box 3" descr="Hinweis" hidden="1">
              <a:extLst>
                <a:ext uri="{63B3BB69-23CF-44E3-9099-C40C66FF867C}">
                  <a14:compatExt spid="_x0000_s29699"/>
                </a:ext>
                <a:ext uri="{FF2B5EF4-FFF2-40B4-BE49-F238E27FC236}">
                  <a16:creationId xmlns:a16="http://schemas.microsoft.com/office/drawing/2014/main" id="{00000000-0008-0000-0500-00000374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2905125</xdr:colOff>
          <xdr:row>1</xdr:row>
          <xdr:rowOff>19050</xdr:rowOff>
        </xdr:from>
        <xdr:to>
          <xdr:col>3</xdr:col>
          <xdr:colOff>542925</xdr:colOff>
          <xdr:row>1</xdr:row>
          <xdr:rowOff>304800</xdr:rowOff>
        </xdr:to>
        <xdr:sp macro="" textlink="">
          <xdr:nvSpPr>
            <xdr:cNvPr id="29700" name="Check Box 4" descr="Hinweis" hidden="1">
              <a:extLst>
                <a:ext uri="{63B3BB69-23CF-44E3-9099-C40C66FF867C}">
                  <a14:compatExt spid="_x0000_s29700"/>
                </a:ext>
                <a:ext uri="{FF2B5EF4-FFF2-40B4-BE49-F238E27FC236}">
                  <a16:creationId xmlns:a16="http://schemas.microsoft.com/office/drawing/2014/main" id="{00000000-0008-0000-0500-00000474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2905125</xdr:colOff>
          <xdr:row>0</xdr:row>
          <xdr:rowOff>142875</xdr:rowOff>
        </xdr:from>
        <xdr:to>
          <xdr:col>3</xdr:col>
          <xdr:colOff>542925</xdr:colOff>
          <xdr:row>1</xdr:row>
          <xdr:rowOff>0</xdr:rowOff>
        </xdr:to>
        <xdr:sp macro="" textlink="">
          <xdr:nvSpPr>
            <xdr:cNvPr id="141313" name="Check Box 1" descr="Hinweis" hidden="1">
              <a:extLst>
                <a:ext uri="{63B3BB69-23CF-44E3-9099-C40C66FF867C}">
                  <a14:compatExt spid="_x0000_s141313"/>
                </a:ext>
                <a:ext uri="{FF2B5EF4-FFF2-40B4-BE49-F238E27FC236}">
                  <a16:creationId xmlns:a16="http://schemas.microsoft.com/office/drawing/2014/main" id="{00000000-0008-0000-0600-0000012802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2905125</xdr:colOff>
          <xdr:row>1</xdr:row>
          <xdr:rowOff>19050</xdr:rowOff>
        </xdr:from>
        <xdr:to>
          <xdr:col>3</xdr:col>
          <xdr:colOff>542925</xdr:colOff>
          <xdr:row>1</xdr:row>
          <xdr:rowOff>304800</xdr:rowOff>
        </xdr:to>
        <xdr:sp macro="" textlink="">
          <xdr:nvSpPr>
            <xdr:cNvPr id="141314" name="Check Box 2" descr="Hinweis" hidden="1">
              <a:extLst>
                <a:ext uri="{63B3BB69-23CF-44E3-9099-C40C66FF867C}">
                  <a14:compatExt spid="_x0000_s141314"/>
                </a:ext>
                <a:ext uri="{FF2B5EF4-FFF2-40B4-BE49-F238E27FC236}">
                  <a16:creationId xmlns:a16="http://schemas.microsoft.com/office/drawing/2014/main" id="{00000000-0008-0000-0600-0000022802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0</xdr:row>
          <xdr:rowOff>161925</xdr:rowOff>
        </xdr:from>
        <xdr:to>
          <xdr:col>3</xdr:col>
          <xdr:colOff>676275</xdr:colOff>
          <xdr:row>1</xdr:row>
          <xdr:rowOff>9525</xdr:rowOff>
        </xdr:to>
        <xdr:sp macro="" textlink="">
          <xdr:nvSpPr>
            <xdr:cNvPr id="31747" name="Check Box 3" descr="Hinweis" hidden="1">
              <a:extLst>
                <a:ext uri="{63B3BB69-23CF-44E3-9099-C40C66FF867C}">
                  <a14:compatExt spid="_x0000_s31747"/>
                </a:ext>
                <a:ext uri="{FF2B5EF4-FFF2-40B4-BE49-F238E27FC236}">
                  <a16:creationId xmlns:a16="http://schemas.microsoft.com/office/drawing/2014/main" id="{00000000-0008-0000-0700-0000037C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28575</xdr:rowOff>
        </xdr:from>
        <xdr:to>
          <xdr:col>3</xdr:col>
          <xdr:colOff>676275</xdr:colOff>
          <xdr:row>1</xdr:row>
          <xdr:rowOff>314325</xdr:rowOff>
        </xdr:to>
        <xdr:sp macro="" textlink="">
          <xdr:nvSpPr>
            <xdr:cNvPr id="31748" name="Check Box 4" descr="Hinweis" hidden="1">
              <a:extLst>
                <a:ext uri="{63B3BB69-23CF-44E3-9099-C40C66FF867C}">
                  <a14:compatExt spid="_x0000_s31748"/>
                </a:ext>
                <a:ext uri="{FF2B5EF4-FFF2-40B4-BE49-F238E27FC236}">
                  <a16:creationId xmlns:a16="http://schemas.microsoft.com/office/drawing/2014/main" id="{00000000-0008-0000-0700-0000047C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19050</xdr:colOff>
          <xdr:row>1</xdr:row>
          <xdr:rowOff>38100</xdr:rowOff>
        </xdr:from>
        <xdr:to>
          <xdr:col>12</xdr:col>
          <xdr:colOff>809625</xdr:colOff>
          <xdr:row>2</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800-0000015C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xdr:row>
          <xdr:rowOff>19050</xdr:rowOff>
        </xdr:from>
        <xdr:to>
          <xdr:col>12</xdr:col>
          <xdr:colOff>809625</xdr:colOff>
          <xdr:row>2</xdr:row>
          <xdr:rowOff>266700</xdr:rowOff>
        </xdr:to>
        <xdr:sp macro="" textlink="">
          <xdr:nvSpPr>
            <xdr:cNvPr id="89090" name="Check Box 2" descr="Hinweis 2" hidden="1">
              <a:extLst>
                <a:ext uri="{63B3BB69-23CF-44E3-9099-C40C66FF867C}">
                  <a14:compatExt spid="_x0000_s89090"/>
                </a:ext>
                <a:ext uri="{FF2B5EF4-FFF2-40B4-BE49-F238E27FC236}">
                  <a16:creationId xmlns:a16="http://schemas.microsoft.com/office/drawing/2014/main" id="{00000000-0008-0000-0800-0000025C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xdr:row>
          <xdr:rowOff>9525</xdr:rowOff>
        </xdr:from>
        <xdr:to>
          <xdr:col>12</xdr:col>
          <xdr:colOff>809625</xdr:colOff>
          <xdr:row>4</xdr:row>
          <xdr:rowOff>57150</xdr:rowOff>
        </xdr:to>
        <xdr:sp macro="" textlink="">
          <xdr:nvSpPr>
            <xdr:cNvPr id="89091" name="Check Box 3" descr="Hinweis 3" hidden="1">
              <a:extLst>
                <a:ext uri="{63B3BB69-23CF-44E3-9099-C40C66FF867C}">
                  <a14:compatExt spid="_x0000_s89091"/>
                </a:ext>
                <a:ext uri="{FF2B5EF4-FFF2-40B4-BE49-F238E27FC236}">
                  <a16:creationId xmlns:a16="http://schemas.microsoft.com/office/drawing/2014/main" id="{00000000-0008-0000-0800-0000035C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xdr:row>
          <xdr:rowOff>66675</xdr:rowOff>
        </xdr:from>
        <xdr:to>
          <xdr:col>12</xdr:col>
          <xdr:colOff>809625</xdr:colOff>
          <xdr:row>5</xdr:row>
          <xdr:rowOff>123825</xdr:rowOff>
        </xdr:to>
        <xdr:sp macro="" textlink="">
          <xdr:nvSpPr>
            <xdr:cNvPr id="89092" name="Check Box 4" descr="Hinweis 3" hidden="1">
              <a:extLst>
                <a:ext uri="{63B3BB69-23CF-44E3-9099-C40C66FF867C}">
                  <a14:compatExt spid="_x0000_s89092"/>
                </a:ext>
                <a:ext uri="{FF2B5EF4-FFF2-40B4-BE49-F238E27FC236}">
                  <a16:creationId xmlns:a16="http://schemas.microsoft.com/office/drawing/2014/main" id="{00000000-0008-0000-0800-0000045C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4</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19050</xdr:colOff>
          <xdr:row>1</xdr:row>
          <xdr:rowOff>38100</xdr:rowOff>
        </xdr:from>
        <xdr:to>
          <xdr:col>12</xdr:col>
          <xdr:colOff>809625</xdr:colOff>
          <xdr:row>2</xdr:row>
          <xdr:rowOff>19050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0900-000001A0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xdr:row>
          <xdr:rowOff>19050</xdr:rowOff>
        </xdr:from>
        <xdr:to>
          <xdr:col>12</xdr:col>
          <xdr:colOff>809625</xdr:colOff>
          <xdr:row>2</xdr:row>
          <xdr:rowOff>266700</xdr:rowOff>
        </xdr:to>
        <xdr:sp macro="" textlink="">
          <xdr:nvSpPr>
            <xdr:cNvPr id="106498" name="Check Box 2" descr="Hinweis 2" hidden="1">
              <a:extLst>
                <a:ext uri="{63B3BB69-23CF-44E3-9099-C40C66FF867C}">
                  <a14:compatExt spid="_x0000_s106498"/>
                </a:ext>
                <a:ext uri="{FF2B5EF4-FFF2-40B4-BE49-F238E27FC236}">
                  <a16:creationId xmlns:a16="http://schemas.microsoft.com/office/drawing/2014/main" id="{00000000-0008-0000-0900-000002A0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xdr:row>
          <xdr:rowOff>9525</xdr:rowOff>
        </xdr:from>
        <xdr:to>
          <xdr:col>12</xdr:col>
          <xdr:colOff>809625</xdr:colOff>
          <xdr:row>4</xdr:row>
          <xdr:rowOff>57150</xdr:rowOff>
        </xdr:to>
        <xdr:sp macro="" textlink="">
          <xdr:nvSpPr>
            <xdr:cNvPr id="106499" name="Check Box 3" descr="Hinweis 3" hidden="1">
              <a:extLst>
                <a:ext uri="{63B3BB69-23CF-44E3-9099-C40C66FF867C}">
                  <a14:compatExt spid="_x0000_s106499"/>
                </a:ext>
                <a:ext uri="{FF2B5EF4-FFF2-40B4-BE49-F238E27FC236}">
                  <a16:creationId xmlns:a16="http://schemas.microsoft.com/office/drawing/2014/main" id="{00000000-0008-0000-0900-000003A0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xdr:row>
          <xdr:rowOff>66675</xdr:rowOff>
        </xdr:from>
        <xdr:to>
          <xdr:col>12</xdr:col>
          <xdr:colOff>809625</xdr:colOff>
          <xdr:row>5</xdr:row>
          <xdr:rowOff>123825</xdr:rowOff>
        </xdr:to>
        <xdr:sp macro="" textlink="">
          <xdr:nvSpPr>
            <xdr:cNvPr id="106500" name="Check Box 4" descr="Hinweis 3" hidden="1">
              <a:extLst>
                <a:ext uri="{63B3BB69-23CF-44E3-9099-C40C66FF867C}">
                  <a14:compatExt spid="_x0000_s106500"/>
                </a:ext>
                <a:ext uri="{FF2B5EF4-FFF2-40B4-BE49-F238E27FC236}">
                  <a16:creationId xmlns:a16="http://schemas.microsoft.com/office/drawing/2014/main" id="{00000000-0008-0000-0900-000004A0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4</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13</xdr:col>
          <xdr:colOff>0</xdr:colOff>
          <xdr:row>1</xdr:row>
          <xdr:rowOff>228600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A00-0000018C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238125</xdr:rowOff>
        </xdr:from>
        <xdr:to>
          <xdr:col>13</xdr:col>
          <xdr:colOff>0</xdr:colOff>
          <xdr:row>2</xdr:row>
          <xdr:rowOff>209550</xdr:rowOff>
        </xdr:to>
        <xdr:sp macro="" textlink="">
          <xdr:nvSpPr>
            <xdr:cNvPr id="101378" name="Check Box 2" descr="Hinweis 2" hidden="1">
              <a:extLst>
                <a:ext uri="{63B3BB69-23CF-44E3-9099-C40C66FF867C}">
                  <a14:compatExt spid="_x0000_s101378"/>
                </a:ext>
                <a:ext uri="{FF2B5EF4-FFF2-40B4-BE49-F238E27FC236}">
                  <a16:creationId xmlns:a16="http://schemas.microsoft.com/office/drawing/2014/main" id="{00000000-0008-0000-0A00-0000028C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219075</xdr:rowOff>
        </xdr:from>
        <xdr:to>
          <xdr:col>13</xdr:col>
          <xdr:colOff>0</xdr:colOff>
          <xdr:row>3</xdr:row>
          <xdr:rowOff>142875</xdr:rowOff>
        </xdr:to>
        <xdr:sp macro="" textlink="">
          <xdr:nvSpPr>
            <xdr:cNvPr id="101379" name="Check Box 3" descr="Hinweis 3" hidden="1">
              <a:extLst>
                <a:ext uri="{63B3BB69-23CF-44E3-9099-C40C66FF867C}">
                  <a14:compatExt spid="_x0000_s101379"/>
                </a:ext>
                <a:ext uri="{FF2B5EF4-FFF2-40B4-BE49-F238E27FC236}">
                  <a16:creationId xmlns:a16="http://schemas.microsoft.com/office/drawing/2014/main" id="{00000000-0008-0000-0A00-0000038C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152400</xdr:rowOff>
        </xdr:from>
        <xdr:to>
          <xdr:col>13</xdr:col>
          <xdr:colOff>0</xdr:colOff>
          <xdr:row>4</xdr:row>
          <xdr:rowOff>152400</xdr:rowOff>
        </xdr:to>
        <xdr:sp macro="" textlink="">
          <xdr:nvSpPr>
            <xdr:cNvPr id="101380" name="Check Box 4" descr="Hinweis 3" hidden="1">
              <a:extLst>
                <a:ext uri="{63B3BB69-23CF-44E3-9099-C40C66FF867C}">
                  <a14:compatExt spid="_x0000_s101380"/>
                </a:ext>
                <a:ext uri="{FF2B5EF4-FFF2-40B4-BE49-F238E27FC236}">
                  <a16:creationId xmlns:a16="http://schemas.microsoft.com/office/drawing/2014/main" id="{00000000-0008-0000-0A00-0000048C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4</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19050</xdr:colOff>
          <xdr:row>1</xdr:row>
          <xdr:rowOff>38100</xdr:rowOff>
        </xdr:from>
        <xdr:to>
          <xdr:col>12</xdr:col>
          <xdr:colOff>809625</xdr:colOff>
          <xdr:row>2</xdr:row>
          <xdr:rowOff>19050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B00-00000160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xdr:row>
          <xdr:rowOff>19050</xdr:rowOff>
        </xdr:from>
        <xdr:to>
          <xdr:col>12</xdr:col>
          <xdr:colOff>809625</xdr:colOff>
          <xdr:row>2</xdr:row>
          <xdr:rowOff>266700</xdr:rowOff>
        </xdr:to>
        <xdr:sp macro="" textlink="">
          <xdr:nvSpPr>
            <xdr:cNvPr id="90114" name="Check Box 2" descr="Hinweis 2" hidden="1">
              <a:extLst>
                <a:ext uri="{63B3BB69-23CF-44E3-9099-C40C66FF867C}">
                  <a14:compatExt spid="_x0000_s90114"/>
                </a:ext>
                <a:ext uri="{FF2B5EF4-FFF2-40B4-BE49-F238E27FC236}">
                  <a16:creationId xmlns:a16="http://schemas.microsoft.com/office/drawing/2014/main" id="{00000000-0008-0000-0B00-00000260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xdr:row>
          <xdr:rowOff>9525</xdr:rowOff>
        </xdr:from>
        <xdr:to>
          <xdr:col>12</xdr:col>
          <xdr:colOff>809625</xdr:colOff>
          <xdr:row>4</xdr:row>
          <xdr:rowOff>57150</xdr:rowOff>
        </xdr:to>
        <xdr:sp macro="" textlink="">
          <xdr:nvSpPr>
            <xdr:cNvPr id="90115" name="Check Box 3" descr="Hinweis 3" hidden="1">
              <a:extLst>
                <a:ext uri="{63B3BB69-23CF-44E3-9099-C40C66FF867C}">
                  <a14:compatExt spid="_x0000_s90115"/>
                </a:ext>
                <a:ext uri="{FF2B5EF4-FFF2-40B4-BE49-F238E27FC236}">
                  <a16:creationId xmlns:a16="http://schemas.microsoft.com/office/drawing/2014/main" id="{00000000-0008-0000-0B00-00000360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xdr:row>
          <xdr:rowOff>66675</xdr:rowOff>
        </xdr:from>
        <xdr:to>
          <xdr:col>12</xdr:col>
          <xdr:colOff>809625</xdr:colOff>
          <xdr:row>5</xdr:row>
          <xdr:rowOff>123825</xdr:rowOff>
        </xdr:to>
        <xdr:sp macro="" textlink="">
          <xdr:nvSpPr>
            <xdr:cNvPr id="90116" name="Check Box 4" descr="Hinweis 3" hidden="1">
              <a:extLst>
                <a:ext uri="{63B3BB69-23CF-44E3-9099-C40C66FF867C}">
                  <a14:compatExt spid="_x0000_s90116"/>
                </a:ext>
                <a:ext uri="{FF2B5EF4-FFF2-40B4-BE49-F238E27FC236}">
                  <a16:creationId xmlns:a16="http://schemas.microsoft.com/office/drawing/2014/main" id="{00000000-0008-0000-0B00-00000460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4</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19050</xdr:colOff>
          <xdr:row>1</xdr:row>
          <xdr:rowOff>38100</xdr:rowOff>
        </xdr:from>
        <xdr:to>
          <xdr:col>12</xdr:col>
          <xdr:colOff>809625</xdr:colOff>
          <xdr:row>2</xdr:row>
          <xdr:rowOff>19050</xdr:rowOff>
        </xdr:to>
        <xdr:sp macro="" textlink="">
          <xdr:nvSpPr>
            <xdr:cNvPr id="105473" name="Check Box 1" hidden="1">
              <a:extLst>
                <a:ext uri="{63B3BB69-23CF-44E3-9099-C40C66FF867C}">
                  <a14:compatExt spid="_x0000_s105473"/>
                </a:ext>
                <a:ext uri="{FF2B5EF4-FFF2-40B4-BE49-F238E27FC236}">
                  <a16:creationId xmlns:a16="http://schemas.microsoft.com/office/drawing/2014/main" id="{00000000-0008-0000-0C00-0000019C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xdr:row>
          <xdr:rowOff>19050</xdr:rowOff>
        </xdr:from>
        <xdr:to>
          <xdr:col>12</xdr:col>
          <xdr:colOff>809625</xdr:colOff>
          <xdr:row>2</xdr:row>
          <xdr:rowOff>266700</xdr:rowOff>
        </xdr:to>
        <xdr:sp macro="" textlink="">
          <xdr:nvSpPr>
            <xdr:cNvPr id="105474" name="Check Box 2" descr="Hinweis 2" hidden="1">
              <a:extLst>
                <a:ext uri="{63B3BB69-23CF-44E3-9099-C40C66FF867C}">
                  <a14:compatExt spid="_x0000_s105474"/>
                </a:ext>
                <a:ext uri="{FF2B5EF4-FFF2-40B4-BE49-F238E27FC236}">
                  <a16:creationId xmlns:a16="http://schemas.microsoft.com/office/drawing/2014/main" id="{00000000-0008-0000-0C00-0000029C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xdr:row>
          <xdr:rowOff>9525</xdr:rowOff>
        </xdr:from>
        <xdr:to>
          <xdr:col>12</xdr:col>
          <xdr:colOff>809625</xdr:colOff>
          <xdr:row>4</xdr:row>
          <xdr:rowOff>57150</xdr:rowOff>
        </xdr:to>
        <xdr:sp macro="" textlink="">
          <xdr:nvSpPr>
            <xdr:cNvPr id="105475" name="Check Box 3" descr="Hinweis 3" hidden="1">
              <a:extLst>
                <a:ext uri="{63B3BB69-23CF-44E3-9099-C40C66FF867C}">
                  <a14:compatExt spid="_x0000_s105475"/>
                </a:ext>
                <a:ext uri="{FF2B5EF4-FFF2-40B4-BE49-F238E27FC236}">
                  <a16:creationId xmlns:a16="http://schemas.microsoft.com/office/drawing/2014/main" id="{00000000-0008-0000-0C00-0000039C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xdr:row>
          <xdr:rowOff>66675</xdr:rowOff>
        </xdr:from>
        <xdr:to>
          <xdr:col>12</xdr:col>
          <xdr:colOff>809625</xdr:colOff>
          <xdr:row>5</xdr:row>
          <xdr:rowOff>123825</xdr:rowOff>
        </xdr:to>
        <xdr:sp macro="" textlink="">
          <xdr:nvSpPr>
            <xdr:cNvPr id="105476" name="Check Box 4" descr="Hinweis 3" hidden="1">
              <a:extLst>
                <a:ext uri="{63B3BB69-23CF-44E3-9099-C40C66FF867C}">
                  <a14:compatExt spid="_x0000_s105476"/>
                </a:ext>
                <a:ext uri="{FF2B5EF4-FFF2-40B4-BE49-F238E27FC236}">
                  <a16:creationId xmlns:a16="http://schemas.microsoft.com/office/drawing/2014/main" id="{00000000-0008-0000-0C00-0000049C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4</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13</xdr:col>
          <xdr:colOff>0</xdr:colOff>
          <xdr:row>1</xdr:row>
          <xdr:rowOff>228600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0D00-00000190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238125</xdr:rowOff>
        </xdr:from>
        <xdr:to>
          <xdr:col>13</xdr:col>
          <xdr:colOff>0</xdr:colOff>
          <xdr:row>2</xdr:row>
          <xdr:rowOff>209550</xdr:rowOff>
        </xdr:to>
        <xdr:sp macro="" textlink="">
          <xdr:nvSpPr>
            <xdr:cNvPr id="102402" name="Check Box 2" descr="Hinweis 2" hidden="1">
              <a:extLst>
                <a:ext uri="{63B3BB69-23CF-44E3-9099-C40C66FF867C}">
                  <a14:compatExt spid="_x0000_s102402"/>
                </a:ext>
                <a:ext uri="{FF2B5EF4-FFF2-40B4-BE49-F238E27FC236}">
                  <a16:creationId xmlns:a16="http://schemas.microsoft.com/office/drawing/2014/main" id="{00000000-0008-0000-0D00-00000290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219075</xdr:rowOff>
        </xdr:from>
        <xdr:to>
          <xdr:col>13</xdr:col>
          <xdr:colOff>0</xdr:colOff>
          <xdr:row>3</xdr:row>
          <xdr:rowOff>142875</xdr:rowOff>
        </xdr:to>
        <xdr:sp macro="" textlink="">
          <xdr:nvSpPr>
            <xdr:cNvPr id="102403" name="Check Box 3" descr="Hinweis 3" hidden="1">
              <a:extLst>
                <a:ext uri="{63B3BB69-23CF-44E3-9099-C40C66FF867C}">
                  <a14:compatExt spid="_x0000_s102403"/>
                </a:ext>
                <a:ext uri="{FF2B5EF4-FFF2-40B4-BE49-F238E27FC236}">
                  <a16:creationId xmlns:a16="http://schemas.microsoft.com/office/drawing/2014/main" id="{00000000-0008-0000-0D00-00000390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152400</xdr:rowOff>
        </xdr:from>
        <xdr:to>
          <xdr:col>13</xdr:col>
          <xdr:colOff>0</xdr:colOff>
          <xdr:row>4</xdr:row>
          <xdr:rowOff>152400</xdr:rowOff>
        </xdr:to>
        <xdr:sp macro="" textlink="">
          <xdr:nvSpPr>
            <xdr:cNvPr id="102404" name="Check Box 4" descr="Hinweis 3" hidden="1">
              <a:extLst>
                <a:ext uri="{63B3BB69-23CF-44E3-9099-C40C66FF867C}">
                  <a14:compatExt spid="_x0000_s102404"/>
                </a:ext>
                <a:ext uri="{FF2B5EF4-FFF2-40B4-BE49-F238E27FC236}">
                  <a16:creationId xmlns:a16="http://schemas.microsoft.com/office/drawing/2014/main" id="{00000000-0008-0000-0D00-00000490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4</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19050</xdr:colOff>
          <xdr:row>1</xdr:row>
          <xdr:rowOff>38100</xdr:rowOff>
        </xdr:from>
        <xdr:to>
          <xdr:col>12</xdr:col>
          <xdr:colOff>809625</xdr:colOff>
          <xdr:row>2</xdr:row>
          <xdr:rowOff>19050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0E00-00000164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xdr:row>
          <xdr:rowOff>19050</xdr:rowOff>
        </xdr:from>
        <xdr:to>
          <xdr:col>12</xdr:col>
          <xdr:colOff>809625</xdr:colOff>
          <xdr:row>2</xdr:row>
          <xdr:rowOff>266700</xdr:rowOff>
        </xdr:to>
        <xdr:sp macro="" textlink="">
          <xdr:nvSpPr>
            <xdr:cNvPr id="91138" name="Check Box 2" descr="Hinweis 2" hidden="1">
              <a:extLst>
                <a:ext uri="{63B3BB69-23CF-44E3-9099-C40C66FF867C}">
                  <a14:compatExt spid="_x0000_s91138"/>
                </a:ext>
                <a:ext uri="{FF2B5EF4-FFF2-40B4-BE49-F238E27FC236}">
                  <a16:creationId xmlns:a16="http://schemas.microsoft.com/office/drawing/2014/main" id="{00000000-0008-0000-0E00-00000264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xdr:row>
          <xdr:rowOff>9525</xdr:rowOff>
        </xdr:from>
        <xdr:to>
          <xdr:col>12</xdr:col>
          <xdr:colOff>809625</xdr:colOff>
          <xdr:row>4</xdr:row>
          <xdr:rowOff>57150</xdr:rowOff>
        </xdr:to>
        <xdr:sp macro="" textlink="">
          <xdr:nvSpPr>
            <xdr:cNvPr id="91139" name="Check Box 3" descr="Hinweis 3" hidden="1">
              <a:extLst>
                <a:ext uri="{63B3BB69-23CF-44E3-9099-C40C66FF867C}">
                  <a14:compatExt spid="_x0000_s91139"/>
                </a:ext>
                <a:ext uri="{FF2B5EF4-FFF2-40B4-BE49-F238E27FC236}">
                  <a16:creationId xmlns:a16="http://schemas.microsoft.com/office/drawing/2014/main" id="{00000000-0008-0000-0E00-00000364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xdr:row>
          <xdr:rowOff>66675</xdr:rowOff>
        </xdr:from>
        <xdr:to>
          <xdr:col>12</xdr:col>
          <xdr:colOff>809625</xdr:colOff>
          <xdr:row>5</xdr:row>
          <xdr:rowOff>123825</xdr:rowOff>
        </xdr:to>
        <xdr:sp macro="" textlink="">
          <xdr:nvSpPr>
            <xdr:cNvPr id="91140" name="Check Box 4" descr="Hinweis 3" hidden="1">
              <a:extLst>
                <a:ext uri="{63B3BB69-23CF-44E3-9099-C40C66FF867C}">
                  <a14:compatExt spid="_x0000_s91140"/>
                </a:ext>
                <a:ext uri="{FF2B5EF4-FFF2-40B4-BE49-F238E27FC236}">
                  <a16:creationId xmlns:a16="http://schemas.microsoft.com/office/drawing/2014/main" id="{00000000-0008-0000-0E00-00000464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4</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13</xdr:col>
          <xdr:colOff>0</xdr:colOff>
          <xdr:row>1</xdr:row>
          <xdr:rowOff>228600</xdr:rowOff>
        </xdr:to>
        <xdr:sp macro="" textlink="">
          <xdr:nvSpPr>
            <xdr:cNvPr id="103425" name="Check Box 1" hidden="1">
              <a:extLst>
                <a:ext uri="{63B3BB69-23CF-44E3-9099-C40C66FF867C}">
                  <a14:compatExt spid="_x0000_s103425"/>
                </a:ext>
                <a:ext uri="{FF2B5EF4-FFF2-40B4-BE49-F238E27FC236}">
                  <a16:creationId xmlns:a16="http://schemas.microsoft.com/office/drawing/2014/main" id="{00000000-0008-0000-0F00-00000194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238125</xdr:rowOff>
        </xdr:from>
        <xdr:to>
          <xdr:col>13</xdr:col>
          <xdr:colOff>0</xdr:colOff>
          <xdr:row>2</xdr:row>
          <xdr:rowOff>209550</xdr:rowOff>
        </xdr:to>
        <xdr:sp macro="" textlink="">
          <xdr:nvSpPr>
            <xdr:cNvPr id="103426" name="Check Box 2" descr="Hinweis 2" hidden="1">
              <a:extLst>
                <a:ext uri="{63B3BB69-23CF-44E3-9099-C40C66FF867C}">
                  <a14:compatExt spid="_x0000_s103426"/>
                </a:ext>
                <a:ext uri="{FF2B5EF4-FFF2-40B4-BE49-F238E27FC236}">
                  <a16:creationId xmlns:a16="http://schemas.microsoft.com/office/drawing/2014/main" id="{00000000-0008-0000-0F00-00000294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219075</xdr:rowOff>
        </xdr:from>
        <xdr:to>
          <xdr:col>13</xdr:col>
          <xdr:colOff>0</xdr:colOff>
          <xdr:row>3</xdr:row>
          <xdr:rowOff>142875</xdr:rowOff>
        </xdr:to>
        <xdr:sp macro="" textlink="">
          <xdr:nvSpPr>
            <xdr:cNvPr id="103427" name="Check Box 3" descr="Hinweis 3" hidden="1">
              <a:extLst>
                <a:ext uri="{63B3BB69-23CF-44E3-9099-C40C66FF867C}">
                  <a14:compatExt spid="_x0000_s103427"/>
                </a:ext>
                <a:ext uri="{FF2B5EF4-FFF2-40B4-BE49-F238E27FC236}">
                  <a16:creationId xmlns:a16="http://schemas.microsoft.com/office/drawing/2014/main" id="{00000000-0008-0000-0F00-00000394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152400</xdr:rowOff>
        </xdr:from>
        <xdr:to>
          <xdr:col>13</xdr:col>
          <xdr:colOff>0</xdr:colOff>
          <xdr:row>4</xdr:row>
          <xdr:rowOff>152400</xdr:rowOff>
        </xdr:to>
        <xdr:sp macro="" textlink="">
          <xdr:nvSpPr>
            <xdr:cNvPr id="103428" name="Check Box 4" descr="Hinweis 3" hidden="1">
              <a:extLst>
                <a:ext uri="{63B3BB69-23CF-44E3-9099-C40C66FF867C}">
                  <a14:compatExt spid="_x0000_s103428"/>
                </a:ext>
                <a:ext uri="{FF2B5EF4-FFF2-40B4-BE49-F238E27FC236}">
                  <a16:creationId xmlns:a16="http://schemas.microsoft.com/office/drawing/2014/main" id="{00000000-0008-0000-0F00-00000494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4</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19050</xdr:colOff>
          <xdr:row>1</xdr:row>
          <xdr:rowOff>38100</xdr:rowOff>
        </xdr:from>
        <xdr:to>
          <xdr:col>12</xdr:col>
          <xdr:colOff>809625</xdr:colOff>
          <xdr:row>2</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000-00000168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xdr:row>
          <xdr:rowOff>19050</xdr:rowOff>
        </xdr:from>
        <xdr:to>
          <xdr:col>12</xdr:col>
          <xdr:colOff>809625</xdr:colOff>
          <xdr:row>2</xdr:row>
          <xdr:rowOff>266700</xdr:rowOff>
        </xdr:to>
        <xdr:sp macro="" textlink="">
          <xdr:nvSpPr>
            <xdr:cNvPr id="92162" name="Check Box 2" descr="Hinweis 2" hidden="1">
              <a:extLst>
                <a:ext uri="{63B3BB69-23CF-44E3-9099-C40C66FF867C}">
                  <a14:compatExt spid="_x0000_s92162"/>
                </a:ext>
                <a:ext uri="{FF2B5EF4-FFF2-40B4-BE49-F238E27FC236}">
                  <a16:creationId xmlns:a16="http://schemas.microsoft.com/office/drawing/2014/main" id="{00000000-0008-0000-1000-00000268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xdr:row>
          <xdr:rowOff>9525</xdr:rowOff>
        </xdr:from>
        <xdr:to>
          <xdr:col>12</xdr:col>
          <xdr:colOff>809625</xdr:colOff>
          <xdr:row>4</xdr:row>
          <xdr:rowOff>57150</xdr:rowOff>
        </xdr:to>
        <xdr:sp macro="" textlink="">
          <xdr:nvSpPr>
            <xdr:cNvPr id="92163" name="Check Box 3" descr="Hinweis 3" hidden="1">
              <a:extLst>
                <a:ext uri="{63B3BB69-23CF-44E3-9099-C40C66FF867C}">
                  <a14:compatExt spid="_x0000_s92163"/>
                </a:ext>
                <a:ext uri="{FF2B5EF4-FFF2-40B4-BE49-F238E27FC236}">
                  <a16:creationId xmlns:a16="http://schemas.microsoft.com/office/drawing/2014/main" id="{00000000-0008-0000-1000-00000368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xdr:row>
          <xdr:rowOff>66675</xdr:rowOff>
        </xdr:from>
        <xdr:to>
          <xdr:col>12</xdr:col>
          <xdr:colOff>809625</xdr:colOff>
          <xdr:row>5</xdr:row>
          <xdr:rowOff>123825</xdr:rowOff>
        </xdr:to>
        <xdr:sp macro="" textlink="">
          <xdr:nvSpPr>
            <xdr:cNvPr id="92164" name="Check Box 4" descr="Hinweis 3" hidden="1">
              <a:extLst>
                <a:ext uri="{63B3BB69-23CF-44E3-9099-C40C66FF867C}">
                  <a14:compatExt spid="_x0000_s92164"/>
                </a:ext>
                <a:ext uri="{FF2B5EF4-FFF2-40B4-BE49-F238E27FC236}">
                  <a16:creationId xmlns:a16="http://schemas.microsoft.com/office/drawing/2014/main" id="{00000000-0008-0000-1000-00000468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4</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13</xdr:col>
          <xdr:colOff>0</xdr:colOff>
          <xdr:row>1</xdr:row>
          <xdr:rowOff>228600</xdr:rowOff>
        </xdr:to>
        <xdr:sp macro="" textlink="">
          <xdr:nvSpPr>
            <xdr:cNvPr id="104449" name="Check Box 1" hidden="1">
              <a:extLst>
                <a:ext uri="{63B3BB69-23CF-44E3-9099-C40C66FF867C}">
                  <a14:compatExt spid="_x0000_s104449"/>
                </a:ext>
                <a:ext uri="{FF2B5EF4-FFF2-40B4-BE49-F238E27FC236}">
                  <a16:creationId xmlns:a16="http://schemas.microsoft.com/office/drawing/2014/main" id="{00000000-0008-0000-1100-00000198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238125</xdr:rowOff>
        </xdr:from>
        <xdr:to>
          <xdr:col>13</xdr:col>
          <xdr:colOff>0</xdr:colOff>
          <xdr:row>2</xdr:row>
          <xdr:rowOff>209550</xdr:rowOff>
        </xdr:to>
        <xdr:sp macro="" textlink="">
          <xdr:nvSpPr>
            <xdr:cNvPr id="104450" name="Check Box 2" descr="Hinweis 2" hidden="1">
              <a:extLst>
                <a:ext uri="{63B3BB69-23CF-44E3-9099-C40C66FF867C}">
                  <a14:compatExt spid="_x0000_s104450"/>
                </a:ext>
                <a:ext uri="{FF2B5EF4-FFF2-40B4-BE49-F238E27FC236}">
                  <a16:creationId xmlns:a16="http://schemas.microsoft.com/office/drawing/2014/main" id="{00000000-0008-0000-1100-00000298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219075</xdr:rowOff>
        </xdr:from>
        <xdr:to>
          <xdr:col>13</xdr:col>
          <xdr:colOff>0</xdr:colOff>
          <xdr:row>3</xdr:row>
          <xdr:rowOff>142875</xdr:rowOff>
        </xdr:to>
        <xdr:sp macro="" textlink="">
          <xdr:nvSpPr>
            <xdr:cNvPr id="104451" name="Check Box 3" descr="Hinweis 3" hidden="1">
              <a:extLst>
                <a:ext uri="{63B3BB69-23CF-44E3-9099-C40C66FF867C}">
                  <a14:compatExt spid="_x0000_s104451"/>
                </a:ext>
                <a:ext uri="{FF2B5EF4-FFF2-40B4-BE49-F238E27FC236}">
                  <a16:creationId xmlns:a16="http://schemas.microsoft.com/office/drawing/2014/main" id="{00000000-0008-0000-1100-00000398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152400</xdr:rowOff>
        </xdr:from>
        <xdr:to>
          <xdr:col>13</xdr:col>
          <xdr:colOff>0</xdr:colOff>
          <xdr:row>4</xdr:row>
          <xdr:rowOff>152400</xdr:rowOff>
        </xdr:to>
        <xdr:sp macro="" textlink="">
          <xdr:nvSpPr>
            <xdr:cNvPr id="104452" name="Check Box 4" descr="Hinweis 3" hidden="1">
              <a:extLst>
                <a:ext uri="{63B3BB69-23CF-44E3-9099-C40C66FF867C}">
                  <a14:compatExt spid="_x0000_s104452"/>
                </a:ext>
                <a:ext uri="{FF2B5EF4-FFF2-40B4-BE49-F238E27FC236}">
                  <a16:creationId xmlns:a16="http://schemas.microsoft.com/office/drawing/2014/main" id="{00000000-0008-0000-1100-00000498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4</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19050</xdr:colOff>
          <xdr:row>1</xdr:row>
          <xdr:rowOff>38100</xdr:rowOff>
        </xdr:from>
        <xdr:to>
          <xdr:col>12</xdr:col>
          <xdr:colOff>809625</xdr:colOff>
          <xdr:row>2</xdr:row>
          <xdr:rowOff>19050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1200-0000016C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xdr:row>
          <xdr:rowOff>19050</xdr:rowOff>
        </xdr:from>
        <xdr:to>
          <xdr:col>12</xdr:col>
          <xdr:colOff>809625</xdr:colOff>
          <xdr:row>2</xdr:row>
          <xdr:rowOff>266700</xdr:rowOff>
        </xdr:to>
        <xdr:sp macro="" textlink="">
          <xdr:nvSpPr>
            <xdr:cNvPr id="93186" name="Check Box 2" descr="Hinweis 2" hidden="1">
              <a:extLst>
                <a:ext uri="{63B3BB69-23CF-44E3-9099-C40C66FF867C}">
                  <a14:compatExt spid="_x0000_s93186"/>
                </a:ext>
                <a:ext uri="{FF2B5EF4-FFF2-40B4-BE49-F238E27FC236}">
                  <a16:creationId xmlns:a16="http://schemas.microsoft.com/office/drawing/2014/main" id="{00000000-0008-0000-1200-0000026C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xdr:row>
          <xdr:rowOff>9525</xdr:rowOff>
        </xdr:from>
        <xdr:to>
          <xdr:col>12</xdr:col>
          <xdr:colOff>809625</xdr:colOff>
          <xdr:row>4</xdr:row>
          <xdr:rowOff>57150</xdr:rowOff>
        </xdr:to>
        <xdr:sp macro="" textlink="">
          <xdr:nvSpPr>
            <xdr:cNvPr id="93187" name="Check Box 3" descr="Hinweis 3" hidden="1">
              <a:extLst>
                <a:ext uri="{63B3BB69-23CF-44E3-9099-C40C66FF867C}">
                  <a14:compatExt spid="_x0000_s93187"/>
                </a:ext>
                <a:ext uri="{FF2B5EF4-FFF2-40B4-BE49-F238E27FC236}">
                  <a16:creationId xmlns:a16="http://schemas.microsoft.com/office/drawing/2014/main" id="{00000000-0008-0000-1200-0000036C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xdr:row>
          <xdr:rowOff>66675</xdr:rowOff>
        </xdr:from>
        <xdr:to>
          <xdr:col>12</xdr:col>
          <xdr:colOff>809625</xdr:colOff>
          <xdr:row>5</xdr:row>
          <xdr:rowOff>123825</xdr:rowOff>
        </xdr:to>
        <xdr:sp macro="" textlink="">
          <xdr:nvSpPr>
            <xdr:cNvPr id="93188" name="Check Box 4" descr="Hinweis 3" hidden="1">
              <a:extLst>
                <a:ext uri="{63B3BB69-23CF-44E3-9099-C40C66FF867C}">
                  <a14:compatExt spid="_x0000_s93188"/>
                </a:ext>
                <a:ext uri="{FF2B5EF4-FFF2-40B4-BE49-F238E27FC236}">
                  <a16:creationId xmlns:a16="http://schemas.microsoft.com/office/drawing/2014/main" id="{00000000-0008-0000-1200-0000046C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4</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19050</xdr:colOff>
          <xdr:row>1</xdr:row>
          <xdr:rowOff>38100</xdr:rowOff>
        </xdr:from>
        <xdr:to>
          <xdr:col>12</xdr:col>
          <xdr:colOff>809625</xdr:colOff>
          <xdr:row>2</xdr:row>
          <xdr:rowOff>19050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1300-000001A4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xdr:row>
          <xdr:rowOff>19050</xdr:rowOff>
        </xdr:from>
        <xdr:to>
          <xdr:col>12</xdr:col>
          <xdr:colOff>809625</xdr:colOff>
          <xdr:row>2</xdr:row>
          <xdr:rowOff>266700</xdr:rowOff>
        </xdr:to>
        <xdr:sp macro="" textlink="">
          <xdr:nvSpPr>
            <xdr:cNvPr id="107522" name="Check Box 2" descr="Hinweis 2" hidden="1">
              <a:extLst>
                <a:ext uri="{63B3BB69-23CF-44E3-9099-C40C66FF867C}">
                  <a14:compatExt spid="_x0000_s107522"/>
                </a:ext>
                <a:ext uri="{FF2B5EF4-FFF2-40B4-BE49-F238E27FC236}">
                  <a16:creationId xmlns:a16="http://schemas.microsoft.com/office/drawing/2014/main" id="{00000000-0008-0000-1300-000002A4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xdr:row>
          <xdr:rowOff>9525</xdr:rowOff>
        </xdr:from>
        <xdr:to>
          <xdr:col>12</xdr:col>
          <xdr:colOff>809625</xdr:colOff>
          <xdr:row>4</xdr:row>
          <xdr:rowOff>57150</xdr:rowOff>
        </xdr:to>
        <xdr:sp macro="" textlink="">
          <xdr:nvSpPr>
            <xdr:cNvPr id="107523" name="Check Box 3" descr="Hinweis 3" hidden="1">
              <a:extLst>
                <a:ext uri="{63B3BB69-23CF-44E3-9099-C40C66FF867C}">
                  <a14:compatExt spid="_x0000_s107523"/>
                </a:ext>
                <a:ext uri="{FF2B5EF4-FFF2-40B4-BE49-F238E27FC236}">
                  <a16:creationId xmlns:a16="http://schemas.microsoft.com/office/drawing/2014/main" id="{00000000-0008-0000-1300-000003A4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xdr:row>
          <xdr:rowOff>66675</xdr:rowOff>
        </xdr:from>
        <xdr:to>
          <xdr:col>12</xdr:col>
          <xdr:colOff>809625</xdr:colOff>
          <xdr:row>5</xdr:row>
          <xdr:rowOff>123825</xdr:rowOff>
        </xdr:to>
        <xdr:sp macro="" textlink="">
          <xdr:nvSpPr>
            <xdr:cNvPr id="107524" name="Check Box 4" descr="Hinweis 3" hidden="1">
              <a:extLst>
                <a:ext uri="{63B3BB69-23CF-44E3-9099-C40C66FF867C}">
                  <a14:compatExt spid="_x0000_s107524"/>
                </a:ext>
                <a:ext uri="{FF2B5EF4-FFF2-40B4-BE49-F238E27FC236}">
                  <a16:creationId xmlns:a16="http://schemas.microsoft.com/office/drawing/2014/main" id="{00000000-0008-0000-1300-000004A4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4</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19050</xdr:colOff>
          <xdr:row>1</xdr:row>
          <xdr:rowOff>38100</xdr:rowOff>
        </xdr:from>
        <xdr:to>
          <xdr:col>12</xdr:col>
          <xdr:colOff>809625</xdr:colOff>
          <xdr:row>2</xdr:row>
          <xdr:rowOff>19050</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1400-00000170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xdr:row>
          <xdr:rowOff>19050</xdr:rowOff>
        </xdr:from>
        <xdr:to>
          <xdr:col>12</xdr:col>
          <xdr:colOff>809625</xdr:colOff>
          <xdr:row>2</xdr:row>
          <xdr:rowOff>266700</xdr:rowOff>
        </xdr:to>
        <xdr:sp macro="" textlink="">
          <xdr:nvSpPr>
            <xdr:cNvPr id="94210" name="Check Box 2" descr="Hinweis 2" hidden="1">
              <a:extLst>
                <a:ext uri="{63B3BB69-23CF-44E3-9099-C40C66FF867C}">
                  <a14:compatExt spid="_x0000_s94210"/>
                </a:ext>
                <a:ext uri="{FF2B5EF4-FFF2-40B4-BE49-F238E27FC236}">
                  <a16:creationId xmlns:a16="http://schemas.microsoft.com/office/drawing/2014/main" id="{00000000-0008-0000-1400-00000270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xdr:row>
          <xdr:rowOff>9525</xdr:rowOff>
        </xdr:from>
        <xdr:to>
          <xdr:col>12</xdr:col>
          <xdr:colOff>809625</xdr:colOff>
          <xdr:row>4</xdr:row>
          <xdr:rowOff>57150</xdr:rowOff>
        </xdr:to>
        <xdr:sp macro="" textlink="">
          <xdr:nvSpPr>
            <xdr:cNvPr id="94211" name="Check Box 3" descr="Hinweis 3" hidden="1">
              <a:extLst>
                <a:ext uri="{63B3BB69-23CF-44E3-9099-C40C66FF867C}">
                  <a14:compatExt spid="_x0000_s94211"/>
                </a:ext>
                <a:ext uri="{FF2B5EF4-FFF2-40B4-BE49-F238E27FC236}">
                  <a16:creationId xmlns:a16="http://schemas.microsoft.com/office/drawing/2014/main" id="{00000000-0008-0000-1400-00000370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xdr:row>
          <xdr:rowOff>66675</xdr:rowOff>
        </xdr:from>
        <xdr:to>
          <xdr:col>12</xdr:col>
          <xdr:colOff>809625</xdr:colOff>
          <xdr:row>5</xdr:row>
          <xdr:rowOff>123825</xdr:rowOff>
        </xdr:to>
        <xdr:sp macro="" textlink="">
          <xdr:nvSpPr>
            <xdr:cNvPr id="94212" name="Check Box 4" descr="Hinweis 3" hidden="1">
              <a:extLst>
                <a:ext uri="{63B3BB69-23CF-44E3-9099-C40C66FF867C}">
                  <a14:compatExt spid="_x0000_s94212"/>
                </a:ext>
                <a:ext uri="{FF2B5EF4-FFF2-40B4-BE49-F238E27FC236}">
                  <a16:creationId xmlns:a16="http://schemas.microsoft.com/office/drawing/2014/main" id="{00000000-0008-0000-1400-00000470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4</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19050</xdr:colOff>
          <xdr:row>1</xdr:row>
          <xdr:rowOff>38100</xdr:rowOff>
        </xdr:from>
        <xdr:to>
          <xdr:col>12</xdr:col>
          <xdr:colOff>809625</xdr:colOff>
          <xdr:row>2</xdr:row>
          <xdr:rowOff>19050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500-00000174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xdr:row>
          <xdr:rowOff>19050</xdr:rowOff>
        </xdr:from>
        <xdr:to>
          <xdr:col>12</xdr:col>
          <xdr:colOff>809625</xdr:colOff>
          <xdr:row>2</xdr:row>
          <xdr:rowOff>266700</xdr:rowOff>
        </xdr:to>
        <xdr:sp macro="" textlink="">
          <xdr:nvSpPr>
            <xdr:cNvPr id="95234" name="Check Box 2" descr="Hinweis 2" hidden="1">
              <a:extLst>
                <a:ext uri="{63B3BB69-23CF-44E3-9099-C40C66FF867C}">
                  <a14:compatExt spid="_x0000_s95234"/>
                </a:ext>
                <a:ext uri="{FF2B5EF4-FFF2-40B4-BE49-F238E27FC236}">
                  <a16:creationId xmlns:a16="http://schemas.microsoft.com/office/drawing/2014/main" id="{00000000-0008-0000-1500-00000274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xdr:row>
          <xdr:rowOff>9525</xdr:rowOff>
        </xdr:from>
        <xdr:to>
          <xdr:col>12</xdr:col>
          <xdr:colOff>809625</xdr:colOff>
          <xdr:row>4</xdr:row>
          <xdr:rowOff>57150</xdr:rowOff>
        </xdr:to>
        <xdr:sp macro="" textlink="">
          <xdr:nvSpPr>
            <xdr:cNvPr id="95235" name="Check Box 3" descr="Hinweis 3" hidden="1">
              <a:extLst>
                <a:ext uri="{63B3BB69-23CF-44E3-9099-C40C66FF867C}">
                  <a14:compatExt spid="_x0000_s95235"/>
                </a:ext>
                <a:ext uri="{FF2B5EF4-FFF2-40B4-BE49-F238E27FC236}">
                  <a16:creationId xmlns:a16="http://schemas.microsoft.com/office/drawing/2014/main" id="{00000000-0008-0000-1500-00000374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xdr:row>
          <xdr:rowOff>66675</xdr:rowOff>
        </xdr:from>
        <xdr:to>
          <xdr:col>12</xdr:col>
          <xdr:colOff>809625</xdr:colOff>
          <xdr:row>5</xdr:row>
          <xdr:rowOff>123825</xdr:rowOff>
        </xdr:to>
        <xdr:sp macro="" textlink="">
          <xdr:nvSpPr>
            <xdr:cNvPr id="95236" name="Check Box 4" descr="Hinweis 3" hidden="1">
              <a:extLst>
                <a:ext uri="{63B3BB69-23CF-44E3-9099-C40C66FF867C}">
                  <a14:compatExt spid="_x0000_s95236"/>
                </a:ext>
                <a:ext uri="{FF2B5EF4-FFF2-40B4-BE49-F238E27FC236}">
                  <a16:creationId xmlns:a16="http://schemas.microsoft.com/office/drawing/2014/main" id="{00000000-0008-0000-1500-00000474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4</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19050</xdr:colOff>
          <xdr:row>1</xdr:row>
          <xdr:rowOff>38100</xdr:rowOff>
        </xdr:from>
        <xdr:to>
          <xdr:col>12</xdr:col>
          <xdr:colOff>809625</xdr:colOff>
          <xdr:row>2</xdr:row>
          <xdr:rowOff>19050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1600-000001A8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xdr:row>
          <xdr:rowOff>19050</xdr:rowOff>
        </xdr:from>
        <xdr:to>
          <xdr:col>12</xdr:col>
          <xdr:colOff>809625</xdr:colOff>
          <xdr:row>2</xdr:row>
          <xdr:rowOff>266700</xdr:rowOff>
        </xdr:to>
        <xdr:sp macro="" textlink="">
          <xdr:nvSpPr>
            <xdr:cNvPr id="108546" name="Check Box 2" descr="Hinweis 2" hidden="1">
              <a:extLst>
                <a:ext uri="{63B3BB69-23CF-44E3-9099-C40C66FF867C}">
                  <a14:compatExt spid="_x0000_s108546"/>
                </a:ext>
                <a:ext uri="{FF2B5EF4-FFF2-40B4-BE49-F238E27FC236}">
                  <a16:creationId xmlns:a16="http://schemas.microsoft.com/office/drawing/2014/main" id="{00000000-0008-0000-1600-000002A8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xdr:row>
          <xdr:rowOff>9525</xdr:rowOff>
        </xdr:from>
        <xdr:to>
          <xdr:col>12</xdr:col>
          <xdr:colOff>809625</xdr:colOff>
          <xdr:row>4</xdr:row>
          <xdr:rowOff>57150</xdr:rowOff>
        </xdr:to>
        <xdr:sp macro="" textlink="">
          <xdr:nvSpPr>
            <xdr:cNvPr id="108547" name="Check Box 3" descr="Hinweis 3" hidden="1">
              <a:extLst>
                <a:ext uri="{63B3BB69-23CF-44E3-9099-C40C66FF867C}">
                  <a14:compatExt spid="_x0000_s108547"/>
                </a:ext>
                <a:ext uri="{FF2B5EF4-FFF2-40B4-BE49-F238E27FC236}">
                  <a16:creationId xmlns:a16="http://schemas.microsoft.com/office/drawing/2014/main" id="{00000000-0008-0000-1600-000003A8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xdr:row>
          <xdr:rowOff>66675</xdr:rowOff>
        </xdr:from>
        <xdr:to>
          <xdr:col>12</xdr:col>
          <xdr:colOff>809625</xdr:colOff>
          <xdr:row>5</xdr:row>
          <xdr:rowOff>123825</xdr:rowOff>
        </xdr:to>
        <xdr:sp macro="" textlink="">
          <xdr:nvSpPr>
            <xdr:cNvPr id="108548" name="Check Box 4" descr="Hinweis 3" hidden="1">
              <a:extLst>
                <a:ext uri="{63B3BB69-23CF-44E3-9099-C40C66FF867C}">
                  <a14:compatExt spid="_x0000_s108548"/>
                </a:ext>
                <a:ext uri="{FF2B5EF4-FFF2-40B4-BE49-F238E27FC236}">
                  <a16:creationId xmlns:a16="http://schemas.microsoft.com/office/drawing/2014/main" id="{00000000-0008-0000-1600-000004A8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4</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19050</xdr:colOff>
          <xdr:row>1</xdr:row>
          <xdr:rowOff>38100</xdr:rowOff>
        </xdr:from>
        <xdr:to>
          <xdr:col>12</xdr:col>
          <xdr:colOff>809625</xdr:colOff>
          <xdr:row>2</xdr:row>
          <xdr:rowOff>19050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1700-00000178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xdr:row>
          <xdr:rowOff>19050</xdr:rowOff>
        </xdr:from>
        <xdr:to>
          <xdr:col>12</xdr:col>
          <xdr:colOff>809625</xdr:colOff>
          <xdr:row>2</xdr:row>
          <xdr:rowOff>266700</xdr:rowOff>
        </xdr:to>
        <xdr:sp macro="" textlink="">
          <xdr:nvSpPr>
            <xdr:cNvPr id="96258" name="Check Box 2" descr="Hinweis 2" hidden="1">
              <a:extLst>
                <a:ext uri="{63B3BB69-23CF-44E3-9099-C40C66FF867C}">
                  <a14:compatExt spid="_x0000_s96258"/>
                </a:ext>
                <a:ext uri="{FF2B5EF4-FFF2-40B4-BE49-F238E27FC236}">
                  <a16:creationId xmlns:a16="http://schemas.microsoft.com/office/drawing/2014/main" id="{00000000-0008-0000-1700-00000278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xdr:row>
          <xdr:rowOff>9525</xdr:rowOff>
        </xdr:from>
        <xdr:to>
          <xdr:col>12</xdr:col>
          <xdr:colOff>809625</xdr:colOff>
          <xdr:row>4</xdr:row>
          <xdr:rowOff>57150</xdr:rowOff>
        </xdr:to>
        <xdr:sp macro="" textlink="">
          <xdr:nvSpPr>
            <xdr:cNvPr id="96259" name="Check Box 3" descr="Hinweis 3" hidden="1">
              <a:extLst>
                <a:ext uri="{63B3BB69-23CF-44E3-9099-C40C66FF867C}">
                  <a14:compatExt spid="_x0000_s96259"/>
                </a:ext>
                <a:ext uri="{FF2B5EF4-FFF2-40B4-BE49-F238E27FC236}">
                  <a16:creationId xmlns:a16="http://schemas.microsoft.com/office/drawing/2014/main" id="{00000000-0008-0000-1700-00000378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xdr:row>
          <xdr:rowOff>66675</xdr:rowOff>
        </xdr:from>
        <xdr:to>
          <xdr:col>12</xdr:col>
          <xdr:colOff>809625</xdr:colOff>
          <xdr:row>5</xdr:row>
          <xdr:rowOff>123825</xdr:rowOff>
        </xdr:to>
        <xdr:sp macro="" textlink="">
          <xdr:nvSpPr>
            <xdr:cNvPr id="96260" name="Check Box 4" descr="Hinweis 3" hidden="1">
              <a:extLst>
                <a:ext uri="{63B3BB69-23CF-44E3-9099-C40C66FF867C}">
                  <a14:compatExt spid="_x0000_s96260"/>
                </a:ext>
                <a:ext uri="{FF2B5EF4-FFF2-40B4-BE49-F238E27FC236}">
                  <a16:creationId xmlns:a16="http://schemas.microsoft.com/office/drawing/2014/main" id="{00000000-0008-0000-1700-00000478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4</a:t>
              </a:r>
            </a:p>
          </xdr:txBody>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19050</xdr:colOff>
          <xdr:row>1</xdr:row>
          <xdr:rowOff>38100</xdr:rowOff>
        </xdr:from>
        <xdr:to>
          <xdr:col>12</xdr:col>
          <xdr:colOff>809625</xdr:colOff>
          <xdr:row>2</xdr:row>
          <xdr:rowOff>19050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800-0000017C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xdr:row>
          <xdr:rowOff>19050</xdr:rowOff>
        </xdr:from>
        <xdr:to>
          <xdr:col>12</xdr:col>
          <xdr:colOff>809625</xdr:colOff>
          <xdr:row>2</xdr:row>
          <xdr:rowOff>266700</xdr:rowOff>
        </xdr:to>
        <xdr:sp macro="" textlink="">
          <xdr:nvSpPr>
            <xdr:cNvPr id="97282" name="Check Box 2" descr="Hinweis 2" hidden="1">
              <a:extLst>
                <a:ext uri="{63B3BB69-23CF-44E3-9099-C40C66FF867C}">
                  <a14:compatExt spid="_x0000_s97282"/>
                </a:ext>
                <a:ext uri="{FF2B5EF4-FFF2-40B4-BE49-F238E27FC236}">
                  <a16:creationId xmlns:a16="http://schemas.microsoft.com/office/drawing/2014/main" id="{00000000-0008-0000-1800-0000027C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xdr:row>
          <xdr:rowOff>9525</xdr:rowOff>
        </xdr:from>
        <xdr:to>
          <xdr:col>12</xdr:col>
          <xdr:colOff>809625</xdr:colOff>
          <xdr:row>4</xdr:row>
          <xdr:rowOff>57150</xdr:rowOff>
        </xdr:to>
        <xdr:sp macro="" textlink="">
          <xdr:nvSpPr>
            <xdr:cNvPr id="97283" name="Check Box 3" descr="Hinweis 3" hidden="1">
              <a:extLst>
                <a:ext uri="{63B3BB69-23CF-44E3-9099-C40C66FF867C}">
                  <a14:compatExt spid="_x0000_s97283"/>
                </a:ext>
                <a:ext uri="{FF2B5EF4-FFF2-40B4-BE49-F238E27FC236}">
                  <a16:creationId xmlns:a16="http://schemas.microsoft.com/office/drawing/2014/main" id="{00000000-0008-0000-1800-0000037C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xdr:row>
          <xdr:rowOff>66675</xdr:rowOff>
        </xdr:from>
        <xdr:to>
          <xdr:col>12</xdr:col>
          <xdr:colOff>809625</xdr:colOff>
          <xdr:row>5</xdr:row>
          <xdr:rowOff>123825</xdr:rowOff>
        </xdr:to>
        <xdr:sp macro="" textlink="">
          <xdr:nvSpPr>
            <xdr:cNvPr id="97284" name="Check Box 4" descr="Hinweis 3" hidden="1">
              <a:extLst>
                <a:ext uri="{63B3BB69-23CF-44E3-9099-C40C66FF867C}">
                  <a14:compatExt spid="_x0000_s97284"/>
                </a:ext>
                <a:ext uri="{FF2B5EF4-FFF2-40B4-BE49-F238E27FC236}">
                  <a16:creationId xmlns:a16="http://schemas.microsoft.com/office/drawing/2014/main" id="{00000000-0008-0000-1800-0000047C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4</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19050</xdr:colOff>
          <xdr:row>1</xdr:row>
          <xdr:rowOff>38100</xdr:rowOff>
        </xdr:from>
        <xdr:to>
          <xdr:col>12</xdr:col>
          <xdr:colOff>809625</xdr:colOff>
          <xdr:row>2</xdr:row>
          <xdr:rowOff>19050</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1900-00000180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xdr:row>
          <xdr:rowOff>19050</xdr:rowOff>
        </xdr:from>
        <xdr:to>
          <xdr:col>12</xdr:col>
          <xdr:colOff>809625</xdr:colOff>
          <xdr:row>2</xdr:row>
          <xdr:rowOff>266700</xdr:rowOff>
        </xdr:to>
        <xdr:sp macro="" textlink="">
          <xdr:nvSpPr>
            <xdr:cNvPr id="98306" name="Check Box 2" descr="Hinweis 2" hidden="1">
              <a:extLst>
                <a:ext uri="{63B3BB69-23CF-44E3-9099-C40C66FF867C}">
                  <a14:compatExt spid="_x0000_s98306"/>
                </a:ext>
                <a:ext uri="{FF2B5EF4-FFF2-40B4-BE49-F238E27FC236}">
                  <a16:creationId xmlns:a16="http://schemas.microsoft.com/office/drawing/2014/main" id="{00000000-0008-0000-1900-00000280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xdr:row>
          <xdr:rowOff>9525</xdr:rowOff>
        </xdr:from>
        <xdr:to>
          <xdr:col>12</xdr:col>
          <xdr:colOff>809625</xdr:colOff>
          <xdr:row>4</xdr:row>
          <xdr:rowOff>57150</xdr:rowOff>
        </xdr:to>
        <xdr:sp macro="" textlink="">
          <xdr:nvSpPr>
            <xdr:cNvPr id="98307" name="Check Box 3" descr="Hinweis 3" hidden="1">
              <a:extLst>
                <a:ext uri="{63B3BB69-23CF-44E3-9099-C40C66FF867C}">
                  <a14:compatExt spid="_x0000_s98307"/>
                </a:ext>
                <a:ext uri="{FF2B5EF4-FFF2-40B4-BE49-F238E27FC236}">
                  <a16:creationId xmlns:a16="http://schemas.microsoft.com/office/drawing/2014/main" id="{00000000-0008-0000-1900-00000380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xdr:row>
          <xdr:rowOff>66675</xdr:rowOff>
        </xdr:from>
        <xdr:to>
          <xdr:col>12</xdr:col>
          <xdr:colOff>809625</xdr:colOff>
          <xdr:row>5</xdr:row>
          <xdr:rowOff>123825</xdr:rowOff>
        </xdr:to>
        <xdr:sp macro="" textlink="">
          <xdr:nvSpPr>
            <xdr:cNvPr id="98308" name="Check Box 4" descr="Hinweis 3" hidden="1">
              <a:extLst>
                <a:ext uri="{63B3BB69-23CF-44E3-9099-C40C66FF867C}">
                  <a14:compatExt spid="_x0000_s98308"/>
                </a:ext>
                <a:ext uri="{FF2B5EF4-FFF2-40B4-BE49-F238E27FC236}">
                  <a16:creationId xmlns:a16="http://schemas.microsoft.com/office/drawing/2014/main" id="{00000000-0008-0000-1900-00000480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4</a:t>
              </a:r>
            </a:p>
          </xdr:txBody>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19050</xdr:colOff>
          <xdr:row>1</xdr:row>
          <xdr:rowOff>38100</xdr:rowOff>
        </xdr:from>
        <xdr:to>
          <xdr:col>12</xdr:col>
          <xdr:colOff>809625</xdr:colOff>
          <xdr:row>2</xdr:row>
          <xdr:rowOff>19050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1A00-00000184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xdr:row>
          <xdr:rowOff>19050</xdr:rowOff>
        </xdr:from>
        <xdr:to>
          <xdr:col>12</xdr:col>
          <xdr:colOff>809625</xdr:colOff>
          <xdr:row>2</xdr:row>
          <xdr:rowOff>266700</xdr:rowOff>
        </xdr:to>
        <xdr:sp macro="" textlink="">
          <xdr:nvSpPr>
            <xdr:cNvPr id="99330" name="Check Box 2" descr="Hinweis 2" hidden="1">
              <a:extLst>
                <a:ext uri="{63B3BB69-23CF-44E3-9099-C40C66FF867C}">
                  <a14:compatExt spid="_x0000_s99330"/>
                </a:ext>
                <a:ext uri="{FF2B5EF4-FFF2-40B4-BE49-F238E27FC236}">
                  <a16:creationId xmlns:a16="http://schemas.microsoft.com/office/drawing/2014/main" id="{00000000-0008-0000-1A00-00000284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xdr:row>
          <xdr:rowOff>9525</xdr:rowOff>
        </xdr:from>
        <xdr:to>
          <xdr:col>12</xdr:col>
          <xdr:colOff>809625</xdr:colOff>
          <xdr:row>4</xdr:row>
          <xdr:rowOff>57150</xdr:rowOff>
        </xdr:to>
        <xdr:sp macro="" textlink="">
          <xdr:nvSpPr>
            <xdr:cNvPr id="99331" name="Check Box 3" descr="Hinweis 3" hidden="1">
              <a:extLst>
                <a:ext uri="{63B3BB69-23CF-44E3-9099-C40C66FF867C}">
                  <a14:compatExt spid="_x0000_s99331"/>
                </a:ext>
                <a:ext uri="{FF2B5EF4-FFF2-40B4-BE49-F238E27FC236}">
                  <a16:creationId xmlns:a16="http://schemas.microsoft.com/office/drawing/2014/main" id="{00000000-0008-0000-1A00-00000384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xdr:row>
          <xdr:rowOff>66675</xdr:rowOff>
        </xdr:from>
        <xdr:to>
          <xdr:col>12</xdr:col>
          <xdr:colOff>809625</xdr:colOff>
          <xdr:row>5</xdr:row>
          <xdr:rowOff>123825</xdr:rowOff>
        </xdr:to>
        <xdr:sp macro="" textlink="">
          <xdr:nvSpPr>
            <xdr:cNvPr id="99332" name="Check Box 4" descr="Hinweis 3" hidden="1">
              <a:extLst>
                <a:ext uri="{63B3BB69-23CF-44E3-9099-C40C66FF867C}">
                  <a14:compatExt spid="_x0000_s99332"/>
                </a:ext>
                <a:ext uri="{FF2B5EF4-FFF2-40B4-BE49-F238E27FC236}">
                  <a16:creationId xmlns:a16="http://schemas.microsoft.com/office/drawing/2014/main" id="{00000000-0008-0000-1A00-00000484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4</a:t>
              </a:r>
            </a:p>
          </xdr:txBody>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19050</xdr:colOff>
          <xdr:row>1</xdr:row>
          <xdr:rowOff>38100</xdr:rowOff>
        </xdr:from>
        <xdr:to>
          <xdr:col>12</xdr:col>
          <xdr:colOff>809625</xdr:colOff>
          <xdr:row>2</xdr:row>
          <xdr:rowOff>19050</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1B00-00000188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xdr:row>
          <xdr:rowOff>19050</xdr:rowOff>
        </xdr:from>
        <xdr:to>
          <xdr:col>12</xdr:col>
          <xdr:colOff>809625</xdr:colOff>
          <xdr:row>2</xdr:row>
          <xdr:rowOff>266700</xdr:rowOff>
        </xdr:to>
        <xdr:sp macro="" textlink="">
          <xdr:nvSpPr>
            <xdr:cNvPr id="100354" name="Check Box 2" descr="Hinweis 2" hidden="1">
              <a:extLst>
                <a:ext uri="{63B3BB69-23CF-44E3-9099-C40C66FF867C}">
                  <a14:compatExt spid="_x0000_s100354"/>
                </a:ext>
                <a:ext uri="{FF2B5EF4-FFF2-40B4-BE49-F238E27FC236}">
                  <a16:creationId xmlns:a16="http://schemas.microsoft.com/office/drawing/2014/main" id="{00000000-0008-0000-1B00-00000288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xdr:row>
          <xdr:rowOff>9525</xdr:rowOff>
        </xdr:from>
        <xdr:to>
          <xdr:col>12</xdr:col>
          <xdr:colOff>809625</xdr:colOff>
          <xdr:row>4</xdr:row>
          <xdr:rowOff>57150</xdr:rowOff>
        </xdr:to>
        <xdr:sp macro="" textlink="">
          <xdr:nvSpPr>
            <xdr:cNvPr id="100355" name="Check Box 3" descr="Hinweis 3" hidden="1">
              <a:extLst>
                <a:ext uri="{63B3BB69-23CF-44E3-9099-C40C66FF867C}">
                  <a14:compatExt spid="_x0000_s100355"/>
                </a:ext>
                <a:ext uri="{FF2B5EF4-FFF2-40B4-BE49-F238E27FC236}">
                  <a16:creationId xmlns:a16="http://schemas.microsoft.com/office/drawing/2014/main" id="{00000000-0008-0000-1B00-00000388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xdr:row>
          <xdr:rowOff>66675</xdr:rowOff>
        </xdr:from>
        <xdr:to>
          <xdr:col>12</xdr:col>
          <xdr:colOff>809625</xdr:colOff>
          <xdr:row>5</xdr:row>
          <xdr:rowOff>123825</xdr:rowOff>
        </xdr:to>
        <xdr:sp macro="" textlink="">
          <xdr:nvSpPr>
            <xdr:cNvPr id="100356" name="Check Box 4" descr="Hinweis 3" hidden="1">
              <a:extLst>
                <a:ext uri="{63B3BB69-23CF-44E3-9099-C40C66FF867C}">
                  <a14:compatExt spid="_x0000_s100356"/>
                </a:ext>
                <a:ext uri="{FF2B5EF4-FFF2-40B4-BE49-F238E27FC236}">
                  <a16:creationId xmlns:a16="http://schemas.microsoft.com/office/drawing/2014/main" id="{00000000-0008-0000-1B00-0000048801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4</a:t>
              </a:r>
            </a:p>
          </xdr:txBody>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xdr:row>
          <xdr:rowOff>57150</xdr:rowOff>
        </xdr:from>
        <xdr:to>
          <xdr:col>3</xdr:col>
          <xdr:colOff>809625</xdr:colOff>
          <xdr:row>1</xdr:row>
          <xdr:rowOff>304800</xdr:rowOff>
        </xdr:to>
        <xdr:sp macro="" textlink="">
          <xdr:nvSpPr>
            <xdr:cNvPr id="45060" name="Check Box 4" descr="Hinweis" hidden="1">
              <a:extLst>
                <a:ext uri="{63B3BB69-23CF-44E3-9099-C40C66FF867C}">
                  <a14:compatExt spid="_x0000_s45060"/>
                </a:ext>
                <a:ext uri="{FF2B5EF4-FFF2-40B4-BE49-F238E27FC236}">
                  <a16:creationId xmlns:a16="http://schemas.microsoft.com/office/drawing/2014/main" id="{00000000-0008-0000-1C00-000004B0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xdr:row>
          <xdr:rowOff>19050</xdr:rowOff>
        </xdr:from>
        <xdr:to>
          <xdr:col>3</xdr:col>
          <xdr:colOff>809625</xdr:colOff>
          <xdr:row>2</xdr:row>
          <xdr:rowOff>266700</xdr:rowOff>
        </xdr:to>
        <xdr:sp macro="" textlink="">
          <xdr:nvSpPr>
            <xdr:cNvPr id="45062" name="Check Box 6" descr="Hinweis" hidden="1">
              <a:extLst>
                <a:ext uri="{63B3BB69-23CF-44E3-9099-C40C66FF867C}">
                  <a14:compatExt spid="_x0000_s45062"/>
                </a:ext>
                <a:ext uri="{FF2B5EF4-FFF2-40B4-BE49-F238E27FC236}">
                  <a16:creationId xmlns:a16="http://schemas.microsoft.com/office/drawing/2014/main" id="{00000000-0008-0000-1C00-000006B0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xdr:row>
          <xdr:rowOff>0</xdr:rowOff>
        </xdr:from>
        <xdr:to>
          <xdr:col>3</xdr:col>
          <xdr:colOff>742950</xdr:colOff>
          <xdr:row>1</xdr:row>
          <xdr:rowOff>266700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1D00-000001E0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xdr:row>
          <xdr:rowOff>114300</xdr:rowOff>
        </xdr:from>
        <xdr:to>
          <xdr:col>3</xdr:col>
          <xdr:colOff>800100</xdr:colOff>
          <xdr:row>2</xdr:row>
          <xdr:rowOff>19050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1E00-000001C0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xdr:row>
          <xdr:rowOff>47625</xdr:rowOff>
        </xdr:from>
        <xdr:to>
          <xdr:col>3</xdr:col>
          <xdr:colOff>800100</xdr:colOff>
          <xdr:row>2</xdr:row>
          <xdr:rowOff>276225</xdr:rowOff>
        </xdr:to>
        <xdr:sp macro="" textlink="">
          <xdr:nvSpPr>
            <xdr:cNvPr id="49154" name="Check Box 2" descr="Hinweis 2" hidden="1">
              <a:extLst>
                <a:ext uri="{63B3BB69-23CF-44E3-9099-C40C66FF867C}">
                  <a14:compatExt spid="_x0000_s49154"/>
                </a:ext>
                <a:ext uri="{FF2B5EF4-FFF2-40B4-BE49-F238E27FC236}">
                  <a16:creationId xmlns:a16="http://schemas.microsoft.com/office/drawing/2014/main" id="{00000000-0008-0000-1E00-000002C0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xdr:row>
          <xdr:rowOff>142875</xdr:rowOff>
        </xdr:from>
        <xdr:to>
          <xdr:col>4</xdr:col>
          <xdr:colOff>9525</xdr:colOff>
          <xdr:row>2</xdr:row>
          <xdr:rowOff>47625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1F00-000001C8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66675</xdr:rowOff>
        </xdr:from>
        <xdr:to>
          <xdr:col>4</xdr:col>
          <xdr:colOff>9525</xdr:colOff>
          <xdr:row>2</xdr:row>
          <xdr:rowOff>295275</xdr:rowOff>
        </xdr:to>
        <xdr:sp macro="" textlink="">
          <xdr:nvSpPr>
            <xdr:cNvPr id="51202" name="Check Box 2" descr="Hinweis 2" hidden="1">
              <a:extLst>
                <a:ext uri="{63B3BB69-23CF-44E3-9099-C40C66FF867C}">
                  <a14:compatExt spid="_x0000_s51202"/>
                </a:ext>
                <a:ext uri="{FF2B5EF4-FFF2-40B4-BE49-F238E27FC236}">
                  <a16:creationId xmlns:a16="http://schemas.microsoft.com/office/drawing/2014/main" id="{00000000-0008-0000-1F00-000002C8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xdr:row>
          <xdr:rowOff>38100</xdr:rowOff>
        </xdr:from>
        <xdr:to>
          <xdr:col>5</xdr:col>
          <xdr:colOff>838200</xdr:colOff>
          <xdr:row>1</xdr:row>
          <xdr:rowOff>266700</xdr:rowOff>
        </xdr:to>
        <xdr:sp macro="" textlink="">
          <xdr:nvSpPr>
            <xdr:cNvPr id="137217" name="Check Box 1" hidden="1">
              <a:extLst>
                <a:ext uri="{63B3BB69-23CF-44E3-9099-C40C66FF867C}">
                  <a14:compatExt spid="_x0000_s137217"/>
                </a:ext>
                <a:ext uri="{FF2B5EF4-FFF2-40B4-BE49-F238E27FC236}">
                  <a16:creationId xmlns:a16="http://schemas.microsoft.com/office/drawing/2014/main" id="{00000000-0008-0000-2000-0000011802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xdr:row>
          <xdr:rowOff>38100</xdr:rowOff>
        </xdr:from>
        <xdr:to>
          <xdr:col>5</xdr:col>
          <xdr:colOff>838200</xdr:colOff>
          <xdr:row>2</xdr:row>
          <xdr:rowOff>266700</xdr:rowOff>
        </xdr:to>
        <xdr:sp macro="" textlink="">
          <xdr:nvSpPr>
            <xdr:cNvPr id="137218" name="Check Box 2" descr="Hinweis 2" hidden="1">
              <a:extLst>
                <a:ext uri="{63B3BB69-23CF-44E3-9099-C40C66FF867C}">
                  <a14:compatExt spid="_x0000_s137218"/>
                </a:ext>
                <a:ext uri="{FF2B5EF4-FFF2-40B4-BE49-F238E27FC236}">
                  <a16:creationId xmlns:a16="http://schemas.microsoft.com/office/drawing/2014/main" id="{00000000-0008-0000-2000-0000021802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xdr:row>
          <xdr:rowOff>19050</xdr:rowOff>
        </xdr:from>
        <xdr:to>
          <xdr:col>2</xdr:col>
          <xdr:colOff>942975</xdr:colOff>
          <xdr:row>1</xdr:row>
          <xdr:rowOff>266700</xdr:rowOff>
        </xdr:to>
        <xdr:sp macro="" textlink="">
          <xdr:nvSpPr>
            <xdr:cNvPr id="138241" name="Check Box 1" hidden="1">
              <a:extLst>
                <a:ext uri="{63B3BB69-23CF-44E3-9099-C40C66FF867C}">
                  <a14:compatExt spid="_x0000_s138241"/>
                </a:ext>
                <a:ext uri="{FF2B5EF4-FFF2-40B4-BE49-F238E27FC236}">
                  <a16:creationId xmlns:a16="http://schemas.microsoft.com/office/drawing/2014/main" id="{00000000-0008-0000-2100-0000011C02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xdr:row>
          <xdr:rowOff>19050</xdr:rowOff>
        </xdr:from>
        <xdr:to>
          <xdr:col>2</xdr:col>
          <xdr:colOff>942975</xdr:colOff>
          <xdr:row>2</xdr:row>
          <xdr:rowOff>266700</xdr:rowOff>
        </xdr:to>
        <xdr:sp macro="" textlink="">
          <xdr:nvSpPr>
            <xdr:cNvPr id="138242" name="Check Box 2" descr="Hinweis 2" hidden="1">
              <a:extLst>
                <a:ext uri="{63B3BB69-23CF-44E3-9099-C40C66FF867C}">
                  <a14:compatExt spid="_x0000_s138242"/>
                </a:ext>
                <a:ext uri="{FF2B5EF4-FFF2-40B4-BE49-F238E27FC236}">
                  <a16:creationId xmlns:a16="http://schemas.microsoft.com/office/drawing/2014/main" id="{00000000-0008-0000-2100-0000021C02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xdr:row>
          <xdr:rowOff>47625</xdr:rowOff>
        </xdr:from>
        <xdr:to>
          <xdr:col>5</xdr:col>
          <xdr:colOff>771525</xdr:colOff>
          <xdr:row>1</xdr:row>
          <xdr:rowOff>276225</xdr:rowOff>
        </xdr:to>
        <xdr:sp macro="" textlink="">
          <xdr:nvSpPr>
            <xdr:cNvPr id="139265" name="Check Box 1" hidden="1">
              <a:extLst>
                <a:ext uri="{63B3BB69-23CF-44E3-9099-C40C66FF867C}">
                  <a14:compatExt spid="_x0000_s139265"/>
                </a:ext>
                <a:ext uri="{FF2B5EF4-FFF2-40B4-BE49-F238E27FC236}">
                  <a16:creationId xmlns:a16="http://schemas.microsoft.com/office/drawing/2014/main" id="{00000000-0008-0000-2200-0000012002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xdr:row>
          <xdr:rowOff>47625</xdr:rowOff>
        </xdr:from>
        <xdr:to>
          <xdr:col>5</xdr:col>
          <xdr:colOff>771525</xdr:colOff>
          <xdr:row>2</xdr:row>
          <xdr:rowOff>276225</xdr:rowOff>
        </xdr:to>
        <xdr:sp macro="" textlink="">
          <xdr:nvSpPr>
            <xdr:cNvPr id="139266" name="Check Box 2" descr="Hinweis 2" hidden="1">
              <a:extLst>
                <a:ext uri="{63B3BB69-23CF-44E3-9099-C40C66FF867C}">
                  <a14:compatExt spid="_x0000_s139266"/>
                </a:ext>
                <a:ext uri="{FF2B5EF4-FFF2-40B4-BE49-F238E27FC236}">
                  <a16:creationId xmlns:a16="http://schemas.microsoft.com/office/drawing/2014/main" id="{00000000-0008-0000-2200-0000022002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1724025</xdr:colOff>
          <xdr:row>1</xdr:row>
          <xdr:rowOff>38100</xdr:rowOff>
        </xdr:from>
        <xdr:to>
          <xdr:col>3</xdr:col>
          <xdr:colOff>752475</xdr:colOff>
          <xdr:row>1</xdr:row>
          <xdr:rowOff>266700</xdr:rowOff>
        </xdr:to>
        <xdr:sp macro="" textlink="">
          <xdr:nvSpPr>
            <xdr:cNvPr id="140289" name="Check Box 1" hidden="1">
              <a:extLst>
                <a:ext uri="{63B3BB69-23CF-44E3-9099-C40C66FF867C}">
                  <a14:compatExt spid="_x0000_s140289"/>
                </a:ext>
                <a:ext uri="{FF2B5EF4-FFF2-40B4-BE49-F238E27FC236}">
                  <a16:creationId xmlns:a16="http://schemas.microsoft.com/office/drawing/2014/main" id="{00000000-0008-0000-2300-0000012402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2</xdr:row>
          <xdr:rowOff>38100</xdr:rowOff>
        </xdr:from>
        <xdr:to>
          <xdr:col>3</xdr:col>
          <xdr:colOff>752475</xdr:colOff>
          <xdr:row>2</xdr:row>
          <xdr:rowOff>266700</xdr:rowOff>
        </xdr:to>
        <xdr:sp macro="" textlink="">
          <xdr:nvSpPr>
            <xdr:cNvPr id="140290" name="Check Box 2" descr="Hinweis 2" hidden="1">
              <a:extLst>
                <a:ext uri="{63B3BB69-23CF-44E3-9099-C40C66FF867C}">
                  <a14:compatExt spid="_x0000_s140290"/>
                </a:ext>
                <a:ext uri="{FF2B5EF4-FFF2-40B4-BE49-F238E27FC236}">
                  <a16:creationId xmlns:a16="http://schemas.microsoft.com/office/drawing/2014/main" id="{00000000-0008-0000-2300-0000022402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0</xdr:row>
          <xdr:rowOff>142875</xdr:rowOff>
        </xdr:from>
        <xdr:to>
          <xdr:col>3</xdr:col>
          <xdr:colOff>771525</xdr:colOff>
          <xdr:row>0</xdr:row>
          <xdr:rowOff>390525</xdr:rowOff>
        </xdr:to>
        <xdr:sp macro="" textlink="">
          <xdr:nvSpPr>
            <xdr:cNvPr id="41985" name="Check Box 1" descr="Hinweis" hidden="1">
              <a:extLst>
                <a:ext uri="{63B3BB69-23CF-44E3-9099-C40C66FF867C}">
                  <a14:compatExt spid="_x0000_s41985"/>
                </a:ext>
                <a:ext uri="{FF2B5EF4-FFF2-40B4-BE49-F238E27FC236}">
                  <a16:creationId xmlns:a16="http://schemas.microsoft.com/office/drawing/2014/main" id="{00000000-0008-0000-2400-000001A4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19.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23.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27.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31.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35.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39.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trlProp" Target="../ctrlProps/ctrlProp43.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trlProp" Target="../ctrlProps/ctrlProp47.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46.xml"/><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ctrlProp" Target="../ctrlProps/ctrlProp51.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50.xml"/><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ctrlProp" Target="../ctrlProps/ctrlProp55.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trlProp" Target="../ctrlProps/ctrlProp59.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trlProp" Target="../ctrlProps/ctrlProp63.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7" Type="http://schemas.openxmlformats.org/officeDocument/2006/relationships/ctrlProp" Target="../ctrlProps/ctrlProp67.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66.xml"/><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7" Type="http://schemas.openxmlformats.org/officeDocument/2006/relationships/ctrlProp" Target="../ctrlProps/ctrlProp71.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7" Type="http://schemas.openxmlformats.org/officeDocument/2006/relationships/ctrlProp" Target="../ctrlProps/ctrlProp75.x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7" Type="http://schemas.openxmlformats.org/officeDocument/2006/relationships/ctrlProp" Target="../ctrlProps/ctrlProp79.xml"/><Relationship Id="rId2" Type="http://schemas.openxmlformats.org/officeDocument/2006/relationships/drawing" Target="../drawings/drawing24.xml"/><Relationship Id="rId1" Type="http://schemas.openxmlformats.org/officeDocument/2006/relationships/printerSettings" Target="../printerSettings/printerSettings24.bin"/><Relationship Id="rId6" Type="http://schemas.openxmlformats.org/officeDocument/2006/relationships/ctrlProp" Target="../ctrlProps/ctrlProp78.xml"/><Relationship Id="rId5" Type="http://schemas.openxmlformats.org/officeDocument/2006/relationships/ctrlProp" Target="../ctrlProps/ctrlProp77.xml"/><Relationship Id="rId4" Type="http://schemas.openxmlformats.org/officeDocument/2006/relationships/ctrlProp" Target="../ctrlProps/ctrlProp76.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7" Type="http://schemas.openxmlformats.org/officeDocument/2006/relationships/ctrlProp" Target="../ctrlProps/ctrlProp83.x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trlProp" Target="../ctrlProps/ctrlProp82.xml"/><Relationship Id="rId5" Type="http://schemas.openxmlformats.org/officeDocument/2006/relationships/ctrlProp" Target="../ctrlProps/ctrlProp81.xml"/><Relationship Id="rId4" Type="http://schemas.openxmlformats.org/officeDocument/2006/relationships/ctrlProp" Target="../ctrlProps/ctrlProp80.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7" Type="http://schemas.openxmlformats.org/officeDocument/2006/relationships/ctrlProp" Target="../ctrlProps/ctrlProp87.x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ctrlProp" Target="../ctrlProps/ctrlProp86.xml"/><Relationship Id="rId5" Type="http://schemas.openxmlformats.org/officeDocument/2006/relationships/ctrlProp" Target="../ctrlProps/ctrlProp85.xml"/><Relationship Id="rId4" Type="http://schemas.openxmlformats.org/officeDocument/2006/relationships/ctrlProp" Target="../ctrlProps/ctrlProp8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7" Type="http://schemas.openxmlformats.org/officeDocument/2006/relationships/ctrlProp" Target="../ctrlProps/ctrlProp91.xml"/><Relationship Id="rId2" Type="http://schemas.openxmlformats.org/officeDocument/2006/relationships/drawing" Target="../drawings/drawing27.xml"/><Relationship Id="rId1" Type="http://schemas.openxmlformats.org/officeDocument/2006/relationships/printerSettings" Target="../printerSettings/printerSettings27.bin"/><Relationship Id="rId6" Type="http://schemas.openxmlformats.org/officeDocument/2006/relationships/ctrlProp" Target="../ctrlProps/ctrlProp90.xml"/><Relationship Id="rId5" Type="http://schemas.openxmlformats.org/officeDocument/2006/relationships/ctrlProp" Target="../ctrlProps/ctrlProp89.xml"/><Relationship Id="rId4" Type="http://schemas.openxmlformats.org/officeDocument/2006/relationships/ctrlProp" Target="../ctrlProps/ctrlProp88.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7" Type="http://schemas.openxmlformats.org/officeDocument/2006/relationships/ctrlProp" Target="../ctrlProps/ctrlProp95.xml"/><Relationship Id="rId2" Type="http://schemas.openxmlformats.org/officeDocument/2006/relationships/drawing" Target="../drawings/drawing28.xml"/><Relationship Id="rId1" Type="http://schemas.openxmlformats.org/officeDocument/2006/relationships/printerSettings" Target="../printerSettings/printerSettings28.bin"/><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ctrlProp" Target="../ctrlProps/ctrlProp92.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29.bin"/><Relationship Id="rId5" Type="http://schemas.openxmlformats.org/officeDocument/2006/relationships/ctrlProp" Target="../ctrlProps/ctrlProp97.xml"/><Relationship Id="rId4" Type="http://schemas.openxmlformats.org/officeDocument/2006/relationships/ctrlProp" Target="../ctrlProps/ctrlProp9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trlProp" Target="../ctrlProps/ctrlProp9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1.bin"/><Relationship Id="rId5" Type="http://schemas.openxmlformats.org/officeDocument/2006/relationships/ctrlProp" Target="../ctrlProps/ctrlProp100.xml"/><Relationship Id="rId4" Type="http://schemas.openxmlformats.org/officeDocument/2006/relationships/ctrlProp" Target="../ctrlProps/ctrlProp9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32.bin"/><Relationship Id="rId5" Type="http://schemas.openxmlformats.org/officeDocument/2006/relationships/ctrlProp" Target="../ctrlProps/ctrlProp102.xml"/><Relationship Id="rId4" Type="http://schemas.openxmlformats.org/officeDocument/2006/relationships/ctrlProp" Target="../ctrlProps/ctrlProp10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3.xml"/><Relationship Id="rId1" Type="http://schemas.openxmlformats.org/officeDocument/2006/relationships/printerSettings" Target="../printerSettings/printerSettings33.bin"/><Relationship Id="rId5" Type="http://schemas.openxmlformats.org/officeDocument/2006/relationships/ctrlProp" Target="../ctrlProps/ctrlProp104.xml"/><Relationship Id="rId4" Type="http://schemas.openxmlformats.org/officeDocument/2006/relationships/ctrlProp" Target="../ctrlProps/ctrlProp10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4.xml"/><Relationship Id="rId1" Type="http://schemas.openxmlformats.org/officeDocument/2006/relationships/printerSettings" Target="../printerSettings/printerSettings34.bin"/><Relationship Id="rId5" Type="http://schemas.openxmlformats.org/officeDocument/2006/relationships/ctrlProp" Target="../ctrlProps/ctrlProp106.xml"/><Relationship Id="rId4" Type="http://schemas.openxmlformats.org/officeDocument/2006/relationships/ctrlProp" Target="../ctrlProps/ctrlProp105.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5.xml"/><Relationship Id="rId1" Type="http://schemas.openxmlformats.org/officeDocument/2006/relationships/printerSettings" Target="../printerSettings/printerSettings35.bin"/><Relationship Id="rId5" Type="http://schemas.openxmlformats.org/officeDocument/2006/relationships/ctrlProp" Target="../ctrlProps/ctrlProp108.xml"/><Relationship Id="rId4" Type="http://schemas.openxmlformats.org/officeDocument/2006/relationships/ctrlProp" Target="../ctrlProps/ctrlProp107.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6.xml"/><Relationship Id="rId1" Type="http://schemas.openxmlformats.org/officeDocument/2006/relationships/printerSettings" Target="../printerSettings/printerSettings36.bin"/><Relationship Id="rId5" Type="http://schemas.openxmlformats.org/officeDocument/2006/relationships/ctrlProp" Target="../ctrlProps/ctrlProp110.xml"/><Relationship Id="rId4" Type="http://schemas.openxmlformats.org/officeDocument/2006/relationships/ctrlProp" Target="../ctrlProps/ctrlProp109.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7.xml"/><Relationship Id="rId1" Type="http://schemas.openxmlformats.org/officeDocument/2006/relationships/printerSettings" Target="../printerSettings/printerSettings37.bin"/><Relationship Id="rId4" Type="http://schemas.openxmlformats.org/officeDocument/2006/relationships/ctrlProp" Target="../ctrlProps/ctrlProp1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42"/>
  </sheetPr>
  <dimension ref="A1:R983"/>
  <sheetViews>
    <sheetView showGridLines="0" tabSelected="1" zoomScaleNormal="100" workbookViewId="0">
      <selection activeCell="C3" sqref="C3"/>
    </sheetView>
  </sheetViews>
  <sheetFormatPr baseColWidth="10" defaultColWidth="11.42578125" defaultRowHeight="10.5" x14ac:dyDescent="0.2"/>
  <cols>
    <col min="1" max="1" width="2.85546875" style="3" customWidth="1"/>
    <col min="2" max="2" width="15.5703125" style="4" customWidth="1"/>
    <col min="3" max="3" width="32.42578125" style="4" customWidth="1"/>
    <col min="4" max="4" width="11.42578125" style="3" customWidth="1"/>
    <col min="5" max="5" width="15.28515625" style="20" customWidth="1"/>
    <col min="6" max="6" width="11.5703125" style="3" customWidth="1"/>
    <col min="7" max="7" width="9.5703125" style="3" customWidth="1"/>
    <col min="8" max="8" width="12" style="3" customWidth="1"/>
    <col min="9" max="9" width="10.7109375" style="3" bestFit="1" customWidth="1"/>
    <col min="10" max="10" width="10.140625" style="3" customWidth="1"/>
    <col min="11" max="11" width="7.7109375" style="3" customWidth="1"/>
    <col min="12" max="12" width="10" style="3" customWidth="1"/>
    <col min="13" max="13" width="11.42578125" style="3" customWidth="1"/>
    <col min="14" max="16" width="11.42578125" style="3"/>
    <col min="17" max="18" width="12.7109375" style="3" customWidth="1"/>
    <col min="19" max="16384" width="11.42578125" style="3"/>
  </cols>
  <sheetData>
    <row r="1" spans="1:12" x14ac:dyDescent="0.2">
      <c r="A1" s="113"/>
    </row>
    <row r="2" spans="1:12" ht="32.450000000000003" customHeight="1" x14ac:dyDescent="0.2">
      <c r="B2" s="114" t="s">
        <v>91</v>
      </c>
      <c r="G2" s="193" t="s">
        <v>229</v>
      </c>
      <c r="H2" s="193"/>
      <c r="I2" s="192" t="str">
        <f>IF(H3=TRUE,"Tragen Sie in die gelb markierten Felder die Angaben zu Ihrem Unternehmen ein.",IF(H4=TRUE,"Am vorteilhaftesten ist es, wenn Sie die Tabellen in dieser Datei anhand der unteren Reiter systematisch durchklicken. Es sind in allen Tabellen nur die GELBEN Zellen auszufüllen.
Die anderen Zellen sind gesperrt. Sie berechnen sich automatisch. ",IF(H5=TRUE,"Die mit Unterstrichen markierten Bezeichnungen für Tabellen, Zahlen und Texte sind verlinkt. Klicken Sie auf die Links, wenn Sie weitere Informationen in der betreffenden Tabelle suchen. ","")))</f>
        <v/>
      </c>
      <c r="J2" s="192"/>
      <c r="K2" s="192"/>
      <c r="L2" s="192"/>
    </row>
    <row r="3" spans="1:12" ht="15" customHeight="1" x14ac:dyDescent="0.2">
      <c r="B3" s="115" t="s">
        <v>191</v>
      </c>
      <c r="C3" s="19"/>
      <c r="E3" s="115" t="s">
        <v>186</v>
      </c>
      <c r="F3" s="116">
        <v>45839</v>
      </c>
      <c r="G3" s="117"/>
      <c r="H3" s="23" t="b">
        <v>0</v>
      </c>
      <c r="I3" s="192"/>
      <c r="J3" s="192"/>
      <c r="K3" s="192"/>
      <c r="L3" s="192"/>
    </row>
    <row r="4" spans="1:12" ht="15" customHeight="1" x14ac:dyDescent="0.2">
      <c r="B4" s="115" t="s">
        <v>179</v>
      </c>
      <c r="C4" s="19"/>
      <c r="E4" s="115" t="s">
        <v>187</v>
      </c>
      <c r="F4" s="116">
        <v>46934</v>
      </c>
      <c r="G4" s="117"/>
      <c r="H4" s="23" t="b">
        <v>0</v>
      </c>
      <c r="I4" s="192"/>
      <c r="J4" s="192"/>
      <c r="K4" s="192"/>
      <c r="L4" s="192"/>
    </row>
    <row r="5" spans="1:12" ht="15" customHeight="1" x14ac:dyDescent="0.2">
      <c r="B5" s="115" t="s">
        <v>180</v>
      </c>
      <c r="C5" s="19"/>
      <c r="E5" s="115" t="s">
        <v>188</v>
      </c>
      <c r="F5" s="118">
        <v>1</v>
      </c>
      <c r="G5" s="117"/>
      <c r="H5" s="23" t="b">
        <v>0</v>
      </c>
      <c r="I5" s="192"/>
      <c r="J5" s="192"/>
      <c r="K5" s="192"/>
      <c r="L5" s="192"/>
    </row>
    <row r="6" spans="1:12" ht="15" customHeight="1" x14ac:dyDescent="0.2">
      <c r="B6" s="115" t="s">
        <v>181</v>
      </c>
      <c r="C6" s="19"/>
      <c r="E6" s="115" t="s">
        <v>189</v>
      </c>
      <c r="F6" s="116">
        <f>DATE(YEAR($F$4)+$F$5,MONTH($F$4),DAY($F$4))</f>
        <v>47299</v>
      </c>
      <c r="I6" s="192"/>
      <c r="J6" s="192"/>
      <c r="K6" s="192"/>
      <c r="L6" s="192"/>
    </row>
    <row r="7" spans="1:12" ht="15" customHeight="1" x14ac:dyDescent="0.2">
      <c r="B7" s="115" t="s">
        <v>192</v>
      </c>
      <c r="C7" s="19"/>
    </row>
    <row r="8" spans="1:12" ht="15" customHeight="1" x14ac:dyDescent="0.2">
      <c r="B8" s="115" t="s">
        <v>193</v>
      </c>
      <c r="C8" s="19"/>
    </row>
    <row r="9" spans="1:12" ht="15" customHeight="1" x14ac:dyDescent="0.2">
      <c r="B9" s="115" t="s">
        <v>194</v>
      </c>
      <c r="C9" s="19"/>
    </row>
    <row r="10" spans="1:12" ht="15" customHeight="1" x14ac:dyDescent="0.2">
      <c r="B10" s="115" t="s">
        <v>195</v>
      </c>
      <c r="C10" s="19"/>
    </row>
    <row r="11" spans="1:12" ht="15" customHeight="1" x14ac:dyDescent="0.2">
      <c r="B11" s="115" t="s">
        <v>196</v>
      </c>
      <c r="C11" s="19"/>
    </row>
    <row r="12" spans="1:12" ht="24.95" customHeight="1" x14ac:dyDescent="0.2"/>
    <row r="13" spans="1:12" ht="19.899999999999999" customHeight="1" x14ac:dyDescent="0.2">
      <c r="B13" s="4" t="s">
        <v>0</v>
      </c>
      <c r="C13" s="4" t="s">
        <v>245</v>
      </c>
      <c r="E13" s="3"/>
    </row>
    <row r="14" spans="1:12" ht="15" customHeight="1" x14ac:dyDescent="0.2">
      <c r="B14" s="93" t="s">
        <v>637</v>
      </c>
      <c r="E14" s="3"/>
    </row>
    <row r="15" spans="1:12" ht="15" customHeight="1" x14ac:dyDescent="0.2">
      <c r="B15" s="93" t="s">
        <v>638</v>
      </c>
      <c r="E15" s="3"/>
    </row>
    <row r="16" spans="1:12" ht="15" customHeight="1" x14ac:dyDescent="0.2">
      <c r="B16" s="93" t="s">
        <v>639</v>
      </c>
      <c r="E16" s="3"/>
    </row>
    <row r="17" spans="2:18" ht="15" customHeight="1" x14ac:dyDescent="0.2">
      <c r="B17" s="5" t="s">
        <v>640</v>
      </c>
      <c r="C17" s="3"/>
      <c r="E17" s="3"/>
    </row>
    <row r="18" spans="2:18" ht="15" customHeight="1" x14ac:dyDescent="0.2">
      <c r="B18" s="5" t="s">
        <v>644</v>
      </c>
      <c r="C18" s="3"/>
      <c r="E18" s="3"/>
    </row>
    <row r="19" spans="2:18" ht="15" customHeight="1" x14ac:dyDescent="0.2">
      <c r="B19" s="5" t="s">
        <v>646</v>
      </c>
      <c r="C19" s="3"/>
      <c r="E19" s="3"/>
    </row>
    <row r="20" spans="2:18" ht="15" customHeight="1" x14ac:dyDescent="0.2">
      <c r="B20" s="5" t="s">
        <v>641</v>
      </c>
      <c r="C20" s="3"/>
      <c r="E20" s="3"/>
    </row>
    <row r="21" spans="2:18" ht="15" customHeight="1" x14ac:dyDescent="0.2">
      <c r="B21" s="5" t="s">
        <v>655</v>
      </c>
      <c r="C21" s="3"/>
      <c r="E21" s="3"/>
    </row>
    <row r="22" spans="2:18" ht="15" customHeight="1" x14ac:dyDescent="0.2">
      <c r="B22" s="5" t="s">
        <v>656</v>
      </c>
      <c r="C22" s="3"/>
      <c r="E22" s="3"/>
    </row>
    <row r="23" spans="2:18" ht="15" customHeight="1" x14ac:dyDescent="0.2">
      <c r="B23" s="93" t="s">
        <v>174</v>
      </c>
    </row>
    <row r="24" spans="2:18" ht="15" customHeight="1" x14ac:dyDescent="0.2"/>
    <row r="25" spans="2:18" ht="90" customHeight="1" x14ac:dyDescent="0.2">
      <c r="B25" s="119" t="s">
        <v>197</v>
      </c>
      <c r="C25" s="119" t="s">
        <v>198</v>
      </c>
      <c r="D25" s="119" t="s">
        <v>199</v>
      </c>
      <c r="E25" s="119" t="s">
        <v>651</v>
      </c>
      <c r="F25" s="119" t="s">
        <v>591</v>
      </c>
      <c r="G25" s="119" t="s">
        <v>596</v>
      </c>
      <c r="H25" s="119" t="s">
        <v>597</v>
      </c>
      <c r="I25" s="119" t="s">
        <v>612</v>
      </c>
      <c r="J25" s="119" t="s">
        <v>648</v>
      </c>
      <c r="K25" s="119" t="s">
        <v>600</v>
      </c>
      <c r="L25" s="119" t="s">
        <v>602</v>
      </c>
      <c r="M25" s="119" t="s">
        <v>598</v>
      </c>
      <c r="N25" s="119" t="s">
        <v>601</v>
      </c>
      <c r="O25" s="119" t="s">
        <v>632</v>
      </c>
      <c r="P25" s="119" t="s">
        <v>635</v>
      </c>
      <c r="Q25" s="119" t="s">
        <v>642</v>
      </c>
      <c r="R25" s="119" t="s">
        <v>643</v>
      </c>
    </row>
    <row r="26" spans="2:18" ht="15" customHeight="1" x14ac:dyDescent="0.2">
      <c r="B26" s="120" t="s">
        <v>244</v>
      </c>
      <c r="C26" s="120" t="s">
        <v>246</v>
      </c>
      <c r="D26" s="120" t="s">
        <v>230</v>
      </c>
      <c r="E26" s="121">
        <f>'Kal Unter Bremmel TH'!L21</f>
        <v>215.33</v>
      </c>
      <c r="F26" s="94">
        <f ca="1">'Kal Unter Bremmel TH'!Q21</f>
        <v>0</v>
      </c>
      <c r="G26" s="94">
        <f>'Kal Grund Bremmel TH'!Q21</f>
        <v>0</v>
      </c>
      <c r="H26" s="122"/>
      <c r="I26" s="94">
        <f ca="1">'Kal Glasvitrinen Gesamt'!$L$5</f>
        <v>0</v>
      </c>
      <c r="J26" s="94">
        <f>'Kal Umkleidespinde Gesamt'!$J$5</f>
        <v>0</v>
      </c>
      <c r="K26" s="122"/>
      <c r="L26" s="122"/>
      <c r="M26" s="94">
        <f ca="1">'Kal Unter Bed Bremmel TH'!Q21</f>
        <v>0</v>
      </c>
      <c r="N26" s="94">
        <f>SUMIF('Kal Pflegefilm Bed'!$B$5:$B6,$B$26,'Kal Pflegefilm Bed'!$G$5:$G6)</f>
        <v>0</v>
      </c>
      <c r="O26" s="94">
        <f ca="1">'Kal Glasvitrinen Gesamt'!$L$6</f>
        <v>0</v>
      </c>
      <c r="P26" s="94">
        <f>SUMIF('Kal Rohre u Balken Gesamt'!$B$5:$B$9,B26,'Kal Rohre u Balken Gesamt'!$K$5:$K$9)</f>
        <v>0</v>
      </c>
      <c r="Q26" s="123">
        <f ca="1">ROUND(SUM($F$26:$P$26),2)</f>
        <v>0</v>
      </c>
      <c r="R26" s="123">
        <f ca="1">ROUND($Q$26* 1.19,2)</f>
        <v>0</v>
      </c>
    </row>
    <row r="27" spans="2:18" ht="15" customHeight="1" x14ac:dyDescent="0.2">
      <c r="B27" s="120" t="s">
        <v>250</v>
      </c>
      <c r="C27" s="120" t="s">
        <v>250</v>
      </c>
      <c r="D27" s="120"/>
      <c r="E27" s="121">
        <f>'Kal Unter Grundschule'!L21+'Kal Unter Fer Grundschule'!L21</f>
        <v>245.33</v>
      </c>
      <c r="F27" s="94">
        <f ca="1">'Kal Unter Grundschule'!Q21</f>
        <v>0</v>
      </c>
      <c r="G27" s="94">
        <f>'Kal Grund Grundschule'!Q21</f>
        <v>0</v>
      </c>
      <c r="H27" s="94">
        <f ca="1">'Kal Unter Fer Grundschule'!Q21</f>
        <v>0</v>
      </c>
      <c r="I27" s="122"/>
      <c r="J27" s="122"/>
      <c r="K27" s="94">
        <f>SUMIF('Kal Matten Gesamt'!$B$6:$B6,$B$27,'Kal Matten Gesamt'!$K$6:$K6)</f>
        <v>0</v>
      </c>
      <c r="L27" s="94">
        <f>SUMIF('Kal Sonstiges Gesamt'!$B$5:$B$26,B27,'Kal Sonstiges Gesamt'!$Q$5:$Q$26)</f>
        <v>0</v>
      </c>
      <c r="M27" s="122"/>
      <c r="N27" s="94">
        <f>SUMIF('Kal Pflegefilm Bed'!$B$5:$B6,$B$27,'Kal Pflegefilm Bed'!$G$5:$G6)</f>
        <v>0</v>
      </c>
      <c r="O27" s="122"/>
      <c r="P27" s="94">
        <f>SUMIF('Kal Rohre u Balken Gesamt'!$B$5:$B$9,B27,'Kal Rohre u Balken Gesamt'!$K$5:$K$9)</f>
        <v>0</v>
      </c>
      <c r="Q27" s="123">
        <f ca="1">ROUND(SUM($F$27:$P$27),2)</f>
        <v>0</v>
      </c>
      <c r="R27" s="123">
        <f ca="1">ROUND($Q$27* 1.19,2)</f>
        <v>0</v>
      </c>
    </row>
    <row r="28" spans="2:18" ht="15" customHeight="1" x14ac:dyDescent="0.2">
      <c r="B28" s="120" t="s">
        <v>252</v>
      </c>
      <c r="C28" s="120" t="s">
        <v>252</v>
      </c>
      <c r="D28" s="120"/>
      <c r="E28" s="121">
        <f>'Kal Unter Hallenbad'!L21</f>
        <v>215.33</v>
      </c>
      <c r="F28" s="94">
        <f ca="1">'Kal Unter Hallenbad'!Q21</f>
        <v>0</v>
      </c>
      <c r="G28" s="94">
        <f>'Kal Grund Hallenbad'!Q21</f>
        <v>0</v>
      </c>
      <c r="H28" s="122"/>
      <c r="I28" s="122"/>
      <c r="J28" s="122"/>
      <c r="K28" s="122"/>
      <c r="L28" s="94">
        <f>SUMIF('Kal Sonstiges Gesamt'!$B$5:$B$26,B28,'Kal Sonstiges Gesamt'!$Q$5:$Q$26)</f>
        <v>0</v>
      </c>
      <c r="M28" s="122"/>
      <c r="N28" s="124"/>
      <c r="O28" s="122"/>
      <c r="P28" s="94">
        <f>SUMIF('Kal Rohre u Balken Gesamt'!$B$5:$B$9,B28,'Kal Rohre u Balken Gesamt'!$K$5:$K$9)</f>
        <v>0</v>
      </c>
      <c r="Q28" s="123">
        <f ca="1">ROUND(SUM($F$28:$P$28),2)</f>
        <v>0</v>
      </c>
      <c r="R28" s="123">
        <f ca="1">ROUND($Q$28* 1.19,2)</f>
        <v>0</v>
      </c>
    </row>
    <row r="29" spans="2:18" ht="15" customHeight="1" x14ac:dyDescent="0.2">
      <c r="B29" s="120" t="s">
        <v>254</v>
      </c>
      <c r="C29" s="120" t="s">
        <v>254</v>
      </c>
      <c r="D29" s="120" t="s">
        <v>230</v>
      </c>
      <c r="E29" s="121">
        <f>'Kal Unter Lehrschwimmbad'!L21</f>
        <v>253.33</v>
      </c>
      <c r="F29" s="94">
        <f ca="1">'Kal Unter Lehrschwimmbad'!Q21</f>
        <v>0</v>
      </c>
      <c r="G29" s="94">
        <f>'Kal Grund Lehrschwimmbad'!Q21</f>
        <v>0</v>
      </c>
      <c r="H29" s="122"/>
      <c r="I29" s="122"/>
      <c r="J29" s="122"/>
      <c r="K29" s="122"/>
      <c r="L29" s="122"/>
      <c r="M29" s="122"/>
      <c r="N29" s="122"/>
      <c r="O29" s="122"/>
      <c r="P29" s="122"/>
      <c r="Q29" s="123">
        <f ca="1">ROUND(SUM($F$29:$P$29),2)</f>
        <v>0</v>
      </c>
      <c r="R29" s="123">
        <f ca="1">ROUND($Q$29* 1.19,2)</f>
        <v>0</v>
      </c>
    </row>
    <row r="30" spans="2:18" ht="15" customHeight="1" x14ac:dyDescent="0.2">
      <c r="B30" s="120" t="s">
        <v>256</v>
      </c>
      <c r="C30" s="120" t="s">
        <v>257</v>
      </c>
      <c r="D30" s="120"/>
      <c r="E30" s="121">
        <f>'Kal Unter öffentl WC'!L21</f>
        <v>303.33</v>
      </c>
      <c r="F30" s="94">
        <f>'Kal Unter öffentl WC'!Q21</f>
        <v>0</v>
      </c>
      <c r="G30" s="122"/>
      <c r="H30" s="122"/>
      <c r="I30" s="122"/>
      <c r="J30" s="122"/>
      <c r="K30" s="122"/>
      <c r="L30" s="94">
        <f>SUMIF('Kal Sonstiges Gesamt'!$B$5:$B$26,B30,'Kal Sonstiges Gesamt'!$Q$5:$Q$26)</f>
        <v>0</v>
      </c>
      <c r="M30" s="94">
        <f>'Kal Unter Bed öffentl WC'!Q21</f>
        <v>0</v>
      </c>
      <c r="N30" s="122"/>
      <c r="O30" s="122"/>
      <c r="P30" s="122"/>
      <c r="Q30" s="123">
        <f>ROUND(SUM($F$30:$P$30),2)</f>
        <v>0</v>
      </c>
      <c r="R30" s="123">
        <f>ROUND($Q$30* 1.19,2)</f>
        <v>0</v>
      </c>
    </row>
    <row r="31" spans="2:18" ht="15" customHeight="1" x14ac:dyDescent="0.2">
      <c r="B31" s="120" t="s">
        <v>259</v>
      </c>
      <c r="C31" s="120" t="s">
        <v>259</v>
      </c>
      <c r="D31" s="120"/>
      <c r="E31" s="121">
        <f>'Kal Unter Rathaus'!L21</f>
        <v>253.33</v>
      </c>
      <c r="F31" s="94">
        <f ca="1">'Kal Unter Rathaus'!Q21</f>
        <v>0</v>
      </c>
      <c r="G31" s="122"/>
      <c r="H31" s="122"/>
      <c r="I31" s="94">
        <f ca="1">SUM('Kal Glasvitrinen Gesamt'!$L$7:$L$8)</f>
        <v>0</v>
      </c>
      <c r="J31" s="122"/>
      <c r="K31" s="122"/>
      <c r="L31" s="94">
        <f>SUMIF('Kal Sonstiges Gesamt'!$B$5:$B$26,B31,'Kal Sonstiges Gesamt'!$Q$5:$Q$26)</f>
        <v>0</v>
      </c>
      <c r="M31" s="122"/>
      <c r="N31" s="122"/>
      <c r="O31" s="94">
        <f ca="1">SUM('Kal Glasvitrinen Gesamt'!$L$9:$L$10)</f>
        <v>0</v>
      </c>
      <c r="P31" s="122"/>
      <c r="Q31" s="123">
        <f ca="1">ROUND(SUM($F$31:$P$31),2)</f>
        <v>0</v>
      </c>
      <c r="R31" s="123">
        <f ca="1">ROUND($Q$31* 1.19,2)</f>
        <v>0</v>
      </c>
    </row>
    <row r="32" spans="2:18" ht="15" customHeight="1" x14ac:dyDescent="0.2">
      <c r="B32" s="120" t="s">
        <v>261</v>
      </c>
      <c r="C32" s="120" t="s">
        <v>262</v>
      </c>
      <c r="D32" s="120" t="s">
        <v>263</v>
      </c>
      <c r="E32" s="121">
        <f>'Kal Unter Schloss Ost'!L21</f>
        <v>253.33</v>
      </c>
      <c r="F32" s="94">
        <f ca="1">'Kal Unter Schloss Ost'!Q21</f>
        <v>0</v>
      </c>
      <c r="G32" s="122"/>
      <c r="H32" s="122"/>
      <c r="I32" s="94">
        <f ca="1">'Kal Glasvitrinen Gesamt'!$L$11</f>
        <v>0</v>
      </c>
      <c r="J32" s="122"/>
      <c r="K32" s="122"/>
      <c r="L32" s="94">
        <f>SUMIF('Kal Sonstiges Gesamt'!$B$5:$B$26,B32,'Kal Sonstiges Gesamt'!$Q$5:$Q$26)</f>
        <v>0</v>
      </c>
      <c r="M32" s="94">
        <f ca="1">'Kal Unter Bed Schloss Ost'!Q21</f>
        <v>0</v>
      </c>
      <c r="N32" s="122"/>
      <c r="O32" s="94">
        <f ca="1">'Kal Glasvitrinen Gesamt'!$L$12</f>
        <v>0</v>
      </c>
      <c r="P32" s="94">
        <f>SUMIF('Kal Rohre u Balken Gesamt'!$B$5:$B$9,B32,'Kal Rohre u Balken Gesamt'!$K$5:$K$9)</f>
        <v>0</v>
      </c>
      <c r="Q32" s="123">
        <f ca="1">ROUND(SUM($F$32:$P$32),2)</f>
        <v>0</v>
      </c>
      <c r="R32" s="123">
        <f ca="1">ROUND($Q$32* 1.19,2)</f>
        <v>0</v>
      </c>
    </row>
    <row r="33" spans="2:18" ht="15" customHeight="1" x14ac:dyDescent="0.2">
      <c r="B33" s="120" t="s">
        <v>264</v>
      </c>
      <c r="C33" s="120" t="s">
        <v>262</v>
      </c>
      <c r="D33" s="120" t="s">
        <v>265</v>
      </c>
      <c r="E33" s="121">
        <f>'Kal Unter Schloss West'!L21</f>
        <v>52.62</v>
      </c>
      <c r="F33" s="94">
        <f ca="1">'Kal Unter Schloss West'!Q21</f>
        <v>0</v>
      </c>
      <c r="G33" s="122"/>
      <c r="H33" s="122"/>
      <c r="I33" s="122"/>
      <c r="J33" s="122"/>
      <c r="K33" s="122"/>
      <c r="L33" s="122"/>
      <c r="M33" s="122"/>
      <c r="N33" s="122"/>
      <c r="O33" s="122"/>
      <c r="P33" s="122"/>
      <c r="Q33" s="123">
        <f ca="1">ROUND(SUM($F$33:$P$33),2)</f>
        <v>0</v>
      </c>
      <c r="R33" s="123">
        <f ca="1">ROUND($Q$33* 1.19,2)</f>
        <v>0</v>
      </c>
    </row>
    <row r="34" spans="2:18" ht="35.1" customHeight="1" x14ac:dyDescent="0.2">
      <c r="B34" s="120" t="s">
        <v>266</v>
      </c>
      <c r="C34" s="120" t="s">
        <v>262</v>
      </c>
      <c r="D34" s="120" t="s">
        <v>650</v>
      </c>
      <c r="E34" s="121">
        <f>'Kal Unter SchlossWest RZ'!L21</f>
        <v>253.33</v>
      </c>
      <c r="F34" s="94">
        <f ca="1">'Kal Unter SchlossWest RZ'!Q21</f>
        <v>0</v>
      </c>
      <c r="G34" s="122"/>
      <c r="H34" s="122"/>
      <c r="I34" s="122"/>
      <c r="J34" s="122"/>
      <c r="K34" s="122"/>
      <c r="L34" s="94">
        <f>SUMIF('Kal Sonstiges Gesamt'!$B$5:$B$26,B34,'Kal Sonstiges Gesamt'!$Q$5:$Q$26)</f>
        <v>0</v>
      </c>
      <c r="M34" s="122"/>
      <c r="N34" s="122"/>
      <c r="O34" s="122"/>
      <c r="P34" s="122"/>
      <c r="Q34" s="123">
        <f ca="1">ROUND(SUM($F$34:$P$34),2)</f>
        <v>0</v>
      </c>
      <c r="R34" s="123">
        <f ca="1">ROUND($Q$34* 1.19,2)</f>
        <v>0</v>
      </c>
    </row>
    <row r="35" spans="2:18" ht="15" customHeight="1" x14ac:dyDescent="0.2">
      <c r="B35" s="120" t="s">
        <v>268</v>
      </c>
      <c r="C35" s="120" t="s">
        <v>269</v>
      </c>
      <c r="D35" s="120"/>
      <c r="E35" s="121">
        <f>'Kal Unter Stadtinfo'!L21</f>
        <v>303.33</v>
      </c>
      <c r="F35" s="94">
        <f ca="1">'Kal Unter Stadtinfo'!Q21</f>
        <v>0</v>
      </c>
      <c r="G35" s="122"/>
      <c r="H35" s="122"/>
      <c r="I35" s="122"/>
      <c r="J35" s="122"/>
      <c r="K35" s="122"/>
      <c r="L35" s="94">
        <f>SUMIF('Kal Sonstiges Gesamt'!$B$5:$B$26,B35,'Kal Sonstiges Gesamt'!$Q$5:$Q$26)</f>
        <v>0</v>
      </c>
      <c r="M35" s="122"/>
      <c r="N35" s="122"/>
      <c r="O35" s="122"/>
      <c r="P35" s="122"/>
      <c r="Q35" s="123">
        <f ca="1">ROUND(SUM($F$35:$P$35),2)</f>
        <v>0</v>
      </c>
      <c r="R35" s="123">
        <f ca="1">ROUND($Q$35* 1.19,2)</f>
        <v>0</v>
      </c>
    </row>
    <row r="36" spans="2:18" ht="15" customHeight="1" x14ac:dyDescent="0.2">
      <c r="B36" s="120" t="s">
        <v>270</v>
      </c>
      <c r="C36" s="120" t="s">
        <v>270</v>
      </c>
      <c r="D36" s="120"/>
      <c r="E36" s="121">
        <f>'Kal Unter Verwaltung I'!L21</f>
        <v>253.33</v>
      </c>
      <c r="F36" s="94">
        <f ca="1">'Kal Unter Verwaltung I'!Q21</f>
        <v>0</v>
      </c>
      <c r="G36" s="122"/>
      <c r="H36" s="122"/>
      <c r="I36" s="122"/>
      <c r="J36" s="122"/>
      <c r="K36" s="122"/>
      <c r="L36" s="94">
        <f>SUMIF('Kal Sonstiges Gesamt'!$B$5:$B$26,B36,'Kal Sonstiges Gesamt'!$Q$5:$Q$26)</f>
        <v>0</v>
      </c>
      <c r="M36" s="122"/>
      <c r="N36" s="122"/>
      <c r="O36" s="122"/>
      <c r="P36" s="122"/>
      <c r="Q36" s="123">
        <f ca="1">ROUND(SUM($F$36:$P$36),2)</f>
        <v>0</v>
      </c>
      <c r="R36" s="123">
        <f ca="1">ROUND($Q$36* 1.19,2)</f>
        <v>0</v>
      </c>
    </row>
    <row r="37" spans="2:18" ht="15" customHeight="1" x14ac:dyDescent="0.2">
      <c r="B37" s="120" t="s">
        <v>272</v>
      </c>
      <c r="C37" s="120" t="s">
        <v>272</v>
      </c>
      <c r="D37" s="120"/>
      <c r="E37" s="121">
        <f>'Kal Unter Verwaltung II'!L21</f>
        <v>253.33</v>
      </c>
      <c r="F37" s="94">
        <f ca="1">'Kal Unter Verwaltung II'!Q21</f>
        <v>0</v>
      </c>
      <c r="G37" s="122"/>
      <c r="H37" s="122"/>
      <c r="I37" s="122"/>
      <c r="J37" s="122"/>
      <c r="K37" s="122"/>
      <c r="L37" s="94">
        <f>SUMIF('Kal Sonstiges Gesamt'!$B$5:$B$26,B37,'Kal Sonstiges Gesamt'!$Q$5:$Q$26)</f>
        <v>0</v>
      </c>
      <c r="M37" s="122"/>
      <c r="N37" s="122"/>
      <c r="O37" s="94">
        <f ca="1">'Kal Glasvitrinen Gesamt'!$L$13</f>
        <v>0</v>
      </c>
      <c r="P37" s="122"/>
      <c r="Q37" s="123">
        <f ca="1">ROUND(SUM($F$37:$P$37),2)</f>
        <v>0</v>
      </c>
      <c r="R37" s="123">
        <f ca="1">ROUND($Q$37* 1.19,2)</f>
        <v>0</v>
      </c>
    </row>
    <row r="38" spans="2:18" ht="15" customHeight="1" x14ac:dyDescent="0.2"/>
    <row r="39" spans="2:18" ht="15" customHeight="1" x14ac:dyDescent="0.2"/>
    <row r="40" spans="2:18" ht="15" customHeight="1" x14ac:dyDescent="0.2"/>
    <row r="41" spans="2:18" ht="15" customHeight="1" x14ac:dyDescent="0.2"/>
    <row r="42" spans="2:18" ht="15" customHeight="1" x14ac:dyDescent="0.2"/>
    <row r="43" spans="2:18" ht="15" customHeight="1" x14ac:dyDescent="0.2"/>
    <row r="44" spans="2:18" ht="15" customHeight="1" x14ac:dyDescent="0.2"/>
    <row r="45" spans="2:18" ht="15" customHeight="1" x14ac:dyDescent="0.2"/>
    <row r="46" spans="2:18" ht="15" customHeight="1" x14ac:dyDescent="0.2"/>
    <row r="47" spans="2:18" ht="15" customHeight="1" x14ac:dyDescent="0.2"/>
    <row r="48" spans="2:1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sheetData>
  <sheetProtection algorithmName="SHA-512" hashValue="ICA7C+PjySsL0oAH+/9umekEvduFuDEIazoMmqbPdW1E5RV6SPCaErTigE4Dt+OVAjP2kTSJcYUqWXYPMcsZfg==" saltValue="FQAc04A6nEWSrf48fOQOSw==" spinCount="100000" sheet="1" objects="1" scenarios="1"/>
  <mergeCells count="2">
    <mergeCell ref="I2:L6"/>
    <mergeCell ref="G2:H2"/>
  </mergeCells>
  <phoneticPr fontId="4" type="noConversion"/>
  <hyperlinks>
    <hyperlink ref="B14" location="'Preisübersicht'!A1" display="Preisübersicht" xr:uid="{45DA0EB7-5CC1-423E-9378-99061CC03208}"/>
    <hyperlink ref="B15" location="'Preisübersicht (nach Bedarf)'!A1" display="Preisübersicht (nach Bedarf)" xr:uid="{A114525B-4E37-4BDA-8BB5-F7ABA99BA144}"/>
    <hyperlink ref="B16" location="'SVS UnterhaltsRG'!A1" display="SVS UnterhaltsRG" xr:uid="{5CC1A820-B474-40AD-831A-4307006AEFDC}"/>
    <hyperlink ref="B17" location="'SVS GrundRG'!A1" display="SVS GrundRG" xr:uid="{14B6F832-7BDE-45A0-8A99-36EF74A5491D}"/>
    <hyperlink ref="B20" location="'SVS UnterhaltsRG öff WC'!A1" display="SVS UnterhaltsRG öff WC" xr:uid="{8EC57C20-2E95-43E2-806B-5F301B64949A}"/>
    <hyperlink ref="B23" location="'Reinigungstage'!A1" display="Reinigungstage" xr:uid="{9AA656CB-0C18-4A17-B6BD-A94A4C3FCA8F}"/>
    <hyperlink ref="F26" location="'Kal Unter Bremmel TH'!$Q$21" display="'Kal Unter Bremmel TH'!$Q$21" xr:uid="{1671B021-4620-413D-B14E-98ACAA92B24E}"/>
    <hyperlink ref="F27" location="'Kal Unter Grundschule'!$Q$21" display="'Kal Unter Grundschule'!$Q$21" xr:uid="{BA58DA76-F2F3-4E51-9264-14763CD109A5}"/>
    <hyperlink ref="F28" location="'Kal Unter Hallenbad'!$Q$21" display="'Kal Unter Hallenbad'!$Q$21" xr:uid="{367D7BDF-4093-4FC5-B280-47C96354BA91}"/>
    <hyperlink ref="F29" location="'Kal Unter Lehrschwimmbad'!$Q$21" display="'Kal Unter Lehrschwimmbad'!$Q$21" xr:uid="{8D4D6061-C1B1-42E8-AD2F-799112CF89F6}"/>
    <hyperlink ref="F30" location="'Kal Unter öffentl WC'!$Q$21" display="'Kal Unter öffentl WC'!$Q$21" xr:uid="{4FD6648A-C17A-4A21-A71C-86669EC25230}"/>
    <hyperlink ref="F31" location="'Kal Unter Rathaus'!$Q$21" display="'Kal Unter Rathaus'!$Q$21" xr:uid="{AB2AB4ED-CBE2-4967-82B2-447D09FF4594}"/>
    <hyperlink ref="F32" location="'Kal Unter Schloss Ost'!$Q$21" display="'Kal Unter Schloss Ost'!$Q$21" xr:uid="{6A7388E3-C90A-4545-B760-0FE91D6B8C12}"/>
    <hyperlink ref="F33" location="'Kal Unter Schloss West'!$Q$21" display="'Kal Unter Schloss West'!$Q$21" xr:uid="{1EA27B7C-3CEF-4EDA-A6DF-765A3D40629E}"/>
    <hyperlink ref="F34" location="'Kal Unter SchlossWest RZ'!$Q$21" display="'Kal Unter SchlossWest RZ'!$Q$21" xr:uid="{01672C1E-9E73-4D15-8DC4-E8844A93225E}"/>
    <hyperlink ref="F35" location="'Kal Unter Stadtinfo'!$Q$21" display="'Kal Unter Stadtinfo'!$Q$21" xr:uid="{C564D449-769A-4473-85D6-655735760BD2}"/>
    <hyperlink ref="F36" location="'Kal Unter Verwaltung I'!$Q$21" display="'Kal Unter Verwaltung I'!$Q$21" xr:uid="{2337F96D-5EDF-4D11-8034-B7E25DE67C99}"/>
    <hyperlink ref="F37" location="'Kal Unter Verwaltung II'!$Q$21" display="'Kal Unter Verwaltung II'!$Q$21" xr:uid="{D41326D3-A7D7-4130-8883-0EFDB91E3064}"/>
    <hyperlink ref="G26" location="'Kal Grund Bremmel TH'!$Q$21" display="'Kal Grund Bremmel TH'!$Q$21" xr:uid="{60D21D3F-9DDE-4C87-ACA4-BBA2C473A44F}"/>
    <hyperlink ref="G27" location="'Kal Grund Grundschule'!$Q$21" display="'Kal Grund Grundschule'!$Q$21" xr:uid="{FE23691D-9498-4CF1-BA34-D29D338817FC}"/>
    <hyperlink ref="G28" location="'Kal Grund Hallenbad'!$Q$21" display="'Kal Grund Hallenbad'!$Q$21" xr:uid="{D502BF1F-7389-458C-9305-F92A79F5461C}"/>
    <hyperlink ref="G29" location="'Kal Grund Lehrschwimmbad'!$Q$21" display="'Kal Grund Lehrschwimmbad'!$Q$21" xr:uid="{7F9807B1-65A5-41D5-B5A8-1B8CE5BA1D52}"/>
    <hyperlink ref="H27" location="'Kal Unter Fer Grundschule'!$Q$21" display="'Kal Unter Fer Grundschule'!$Q$21" xr:uid="{D8697567-8B8C-43B8-A8E3-13496521DE24}"/>
    <hyperlink ref="K27" location="'Kal Matten Gesamt'!K6" display="'Kal Matten Gesamt'!K6" xr:uid="{8E26592B-8A3F-4658-AF0C-6F4BB4BFF199}"/>
    <hyperlink ref="M26" location="'Kal Unter Bed Bremmel TH'!$Q$21" display="'Kal Unter Bed Bremmel TH'!$Q$21" xr:uid="{6D53C95A-C72E-479B-BA16-DD44DC59912B}"/>
    <hyperlink ref="M30" location="'Kal Unter Bed öffentl WC'!$Q$21" display="'Kal Unter Bed öffentl WC'!$Q$21" xr:uid="{E605B353-22CC-46A0-A7D9-8D669161E3ED}"/>
    <hyperlink ref="M32" location="'Kal Unter Bed Schloss Ost'!$Q$21" display="'Kal Unter Bed Schloss Ost'!$Q$21" xr:uid="{EAA83753-BA3F-4B9F-B6F1-FA4AFDCC6797}"/>
    <hyperlink ref="N26" location="'Kal Pflegefilm Bed'!G5" display="'Kal Pflegefilm Bed'!G5" xr:uid="{133DA417-BF5B-4D8A-8457-0023C761478C}"/>
    <hyperlink ref="B18" location="'SVS Regiestunden Prallschutz'!A1" display="SVS Regiestunden Prallschutz" xr:uid="{835B6511-FE81-4A72-A7A0-1DFC7ACE2B34}"/>
    <hyperlink ref="I26" location="'Kal Glasvitrinen Gesamt'!L5" display="'Kal Glasvitrinen Gesamt'!L5" xr:uid="{521E059B-2B6E-4D1A-929D-127108F25CFF}"/>
    <hyperlink ref="I31" location="'Kal Glasvitrinen Gesamt'!L7:L8" display="'Kal Glasvitrinen Gesamt'!L7:L8" xr:uid="{608778E1-8E78-4D64-AA85-678B65A9F105}"/>
    <hyperlink ref="I32" location="'Kal Glasvitrinen Gesamt'!L11" display="'Kal Glasvitrinen Gesamt'!L11" xr:uid="{C9DD4D0D-84FD-45EA-9569-4E694514F2D4}"/>
    <hyperlink ref="J26" location="'Kal Umkleidespinde Gesamt'!J5" display="'Kal Umkleidespinde Gesamt'!J5" xr:uid="{B50EEBCB-592A-457F-9F61-861C4FAFB8DD}"/>
    <hyperlink ref="N27" location="'Kal Pflegefilm Bed'!G6" display="'Kal Pflegefilm Bed'!G6" xr:uid="{A9E81BC7-4CD4-4A9C-A880-E9C6B166020F}"/>
    <hyperlink ref="O26" location="'Kal Glasvitrinen Gesamt'!L6" display="'Kal Glasvitrinen Gesamt'!L6" xr:uid="{75B56B8F-336B-477A-A9D0-C7E8F87AE1EA}"/>
    <hyperlink ref="O31" location="'Kal Glasvitrinen Gesamt'!L9:L10" display="'Kal Glasvitrinen Gesamt'!L9:L10" xr:uid="{CF763E83-F740-4D2E-9FC8-F70DD21DE107}"/>
    <hyperlink ref="O32" location="'Kal Glasvitrinen Gesamt'!L12" display="'Kal Glasvitrinen Gesamt'!L12" xr:uid="{5B6A8257-4BF3-46FF-89BA-8BA5C96265E6}"/>
    <hyperlink ref="O37" location="'Kal Glasvitrinen Gesamt'!L13" display="'Kal Glasvitrinen Gesamt'!L13" xr:uid="{F2304857-F366-4B8B-8A35-426189FEC9FB}"/>
    <hyperlink ref="P26" location="'Kal Rohre u Balken Gesamt'!K5:K6" display="'Kal Rohre u Balken Gesamt'!K5:K6" xr:uid="{F9E258E4-8E6A-45DC-8301-5D75E64D5520}"/>
    <hyperlink ref="P27" location="'Kal Rohre u Balken Gesamt'!K7" display="'Kal Rohre u Balken Gesamt'!K7" xr:uid="{ADC4C1EC-F2FB-4404-9F8D-28804AAA4555}"/>
    <hyperlink ref="P28" location="'Kal Rohre u Balken Gesamt'!K8" display="'Kal Rohre u Balken Gesamt'!K8" xr:uid="{AEFCBEA8-20A9-4644-A6C1-15FFC88DFADB}"/>
    <hyperlink ref="P32" location="'Kal Rohre u Balken Gesamt'!K9" display="'Kal Rohre u Balken Gesamt'!K9" xr:uid="{0AF75B7A-BE5A-4552-B92F-D8CEA86AD851}"/>
    <hyperlink ref="B19" location="'SVS Regiestunden Trainingslager'!A1" display="SVS Regiestunden Trainingslager" xr:uid="{9F03E067-00C5-478B-808D-82F499103A0D}"/>
    <hyperlink ref="L27" location="'Kal Sonstiges Gesamt'!Q5:Q7" display="'Kal Sonstiges Gesamt'!Q5:Q7" xr:uid="{C426E636-1BEB-4B00-B967-34E880BCDAA7}"/>
    <hyperlink ref="L28" location="'Kal Sonstiges Gesamt'!Q8:Q9" display="'Kal Sonstiges Gesamt'!Q8:Q9" xr:uid="{22D0DAB7-2B3D-4E88-86A8-0D15860990E6}"/>
    <hyperlink ref="L30" location="'Kal Sonstiges Gesamt'!Q10:Q11" display="'Kal Sonstiges Gesamt'!Q10:Q11" xr:uid="{ED3B461F-41E3-4861-A0E3-2D0830C2DCC6}"/>
    <hyperlink ref="L31" location="'Kal Sonstiges Gesamt'!Q12:Q15" display="'Kal Sonstiges Gesamt'!Q12:Q15" xr:uid="{1CC1BFE1-A1A7-405B-92E9-480423FF7A3C}"/>
    <hyperlink ref="L32" location="'Kal Sonstiges Gesamt'!Q16:Q17" display="'Kal Sonstiges Gesamt'!Q16:Q17" xr:uid="{188F61A3-0920-4E2D-946A-27DD029A0110}"/>
    <hyperlink ref="L34" location="'Kal Sonstiges Gesamt'!Q18" display="'Kal Sonstiges Gesamt'!Q18" xr:uid="{A576CB72-8E71-4F4D-8CD6-47ED16A4054D}"/>
    <hyperlink ref="L35" location="'Kal Sonstiges Gesamt'!Q19:Q21" display="'Kal Sonstiges Gesamt'!Q19:Q21" xr:uid="{FB473901-1723-48BC-86FD-2088832211DE}"/>
    <hyperlink ref="L36" location="'Kal Sonstiges Gesamt'!Q22:Q24" display="'Kal Sonstiges Gesamt'!Q22:Q24" xr:uid="{B77AB48D-CE4E-42A5-883A-688A5E23B422}"/>
    <hyperlink ref="L37" location="'Kal Sonstiges Gesamt'!Q25:Q26" display="'Kal Sonstiges Gesamt'!Q25:Q26" xr:uid="{D030A427-18DB-4FF1-83A1-5CB289D0485C}"/>
    <hyperlink ref="B21" location="'Kal Regie Prallschutz'!A1" display="Kal Regie Prallschutz" xr:uid="{CF34AC7A-900B-46C2-8536-965067625940}"/>
    <hyperlink ref="B22" location="'Kal Regie Trainingslager'!A1" display="Kal Regie Trainingslager" xr:uid="{948012E1-325F-4962-B34A-FEA60ABFC005}"/>
  </hyperlinks>
  <printOptions horizontalCentered="1"/>
  <pageMargins left="0.78740157480314965" right="0.78740157480314965" top="0.98425196850393704" bottom="0.98425196850393704" header="0.51181102362204722" footer="0.51181102362204722"/>
  <pageSetup paperSize="9" scale="58" orientation="landscape" r:id="rId1"/>
  <headerFooter alignWithMargins="0">
    <oddHeader>&amp;L&amp;F</oddHeader>
    <oddFooter>&amp;R&amp;A&amp;LStadt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0</xdr:colOff>
                    <xdr:row>2</xdr:row>
                    <xdr:rowOff>0</xdr:rowOff>
                  </from>
                  <to>
                    <xdr:col>7</xdr:col>
                    <xdr:colOff>790575</xdr:colOff>
                    <xdr:row>3</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ltText="Hinweis 2">
                <anchor moveWithCells="1">
                  <from>
                    <xdr:col>7</xdr:col>
                    <xdr:colOff>0</xdr:colOff>
                    <xdr:row>3</xdr:row>
                    <xdr:rowOff>0</xdr:rowOff>
                  </from>
                  <to>
                    <xdr:col>7</xdr:col>
                    <xdr:colOff>790575</xdr:colOff>
                    <xdr:row>4</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ltText="Hinweis 3">
                <anchor moveWithCells="1">
                  <from>
                    <xdr:col>7</xdr:col>
                    <xdr:colOff>0</xdr:colOff>
                    <xdr:row>4</xdr:row>
                    <xdr:rowOff>19050</xdr:rowOff>
                  </from>
                  <to>
                    <xdr:col>7</xdr:col>
                    <xdr:colOff>790575</xdr:colOff>
                    <xdr:row>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indexed="58"/>
  </sheetPr>
  <dimension ref="A1:L18"/>
  <sheetViews>
    <sheetView showGridLines="0" zoomScaleNormal="100" workbookViewId="0"/>
  </sheetViews>
  <sheetFormatPr baseColWidth="10" defaultColWidth="11.42578125" defaultRowHeight="15" customHeight="1" x14ac:dyDescent="0.2"/>
  <cols>
    <col min="1" max="1" width="25.7109375" style="3" customWidth="1"/>
    <col min="2" max="2" width="15.7109375" style="3" customWidth="1"/>
    <col min="3" max="9" width="14.28515625" style="3" customWidth="1"/>
    <col min="10" max="12" width="16.7109375" style="3" customWidth="1"/>
    <col min="13" max="16384" width="11.42578125" style="3"/>
  </cols>
  <sheetData>
    <row r="1" spans="1:12" ht="29.1" customHeight="1" x14ac:dyDescent="0.2">
      <c r="A1" s="3" t="s">
        <v>205</v>
      </c>
      <c r="D1" s="21"/>
      <c r="E1" s="5" t="s">
        <v>100</v>
      </c>
      <c r="F1" s="15"/>
      <c r="G1" s="15"/>
      <c r="K1" s="4"/>
    </row>
    <row r="2" spans="1:12" ht="24" customHeight="1" x14ac:dyDescent="0.2">
      <c r="B2" s="23" t="b">
        <v>0</v>
      </c>
      <c r="C2" s="200" t="str">
        <f>IF(B2=TRUE,"Hier muss nichts ausgefüllt werden. Füllen Sie zunächst in den folgenden Tabellen die gelben Zellen aus. Kehren Sie dann zu dieser Tabelle zurück.","")</f>
        <v/>
      </c>
      <c r="D2" s="200"/>
      <c r="E2" s="200"/>
      <c r="F2" s="200"/>
      <c r="G2" s="200"/>
      <c r="K2" s="21"/>
    </row>
    <row r="3" spans="1:12" ht="24" customHeight="1" x14ac:dyDescent="0.2">
      <c r="A3" s="24" t="s">
        <v>105</v>
      </c>
      <c r="B3" s="25" t="str">
        <f>IF(Inhaltsverzeichnis!$C$3="", "",Inhaltsverzeichnis!$C$3)</f>
        <v/>
      </c>
      <c r="C3" s="4"/>
      <c r="D3" s="4"/>
    </row>
    <row r="4" spans="1:12" s="20" customFormat="1" ht="29.1" customHeight="1" x14ac:dyDescent="0.2">
      <c r="A4" s="198" t="s">
        <v>604</v>
      </c>
      <c r="B4" s="199"/>
      <c r="C4" s="1" t="s">
        <v>591</v>
      </c>
      <c r="D4" s="1" t="s">
        <v>596</v>
      </c>
      <c r="E4" s="1" t="s">
        <v>597</v>
      </c>
      <c r="F4" s="1" t="s">
        <v>612</v>
      </c>
      <c r="G4" s="1" t="s">
        <v>636</v>
      </c>
      <c r="H4" s="1" t="s">
        <v>600</v>
      </c>
      <c r="I4" s="1" t="s">
        <v>602</v>
      </c>
      <c r="J4" s="194" t="s">
        <v>607</v>
      </c>
      <c r="K4" s="194"/>
      <c r="L4" s="194"/>
    </row>
    <row r="5" spans="1:12" s="20" customFormat="1" ht="29.1" customHeight="1" x14ac:dyDescent="0.2">
      <c r="A5" s="1" t="s">
        <v>96</v>
      </c>
      <c r="B5" s="1" t="s">
        <v>200</v>
      </c>
      <c r="C5" s="1" t="s">
        <v>175</v>
      </c>
      <c r="D5" s="1" t="s">
        <v>175</v>
      </c>
      <c r="E5" s="1" t="s">
        <v>175</v>
      </c>
      <c r="F5" s="1" t="s">
        <v>175</v>
      </c>
      <c r="G5" s="1" t="s">
        <v>175</v>
      </c>
      <c r="H5" s="1" t="s">
        <v>175</v>
      </c>
      <c r="I5" s="1" t="s">
        <v>175</v>
      </c>
      <c r="J5" s="1" t="s">
        <v>175</v>
      </c>
      <c r="K5" s="1" t="s">
        <v>606</v>
      </c>
      <c r="L5" s="1" t="s">
        <v>176</v>
      </c>
    </row>
    <row r="6" spans="1:12" ht="15" customHeight="1" x14ac:dyDescent="0.2">
      <c r="A6" s="14" t="s">
        <v>244</v>
      </c>
      <c r="B6" s="96">
        <v>1</v>
      </c>
      <c r="C6" s="95">
        <f ca="1">'Kal Unter Bremmel TH'!Q21</f>
        <v>0</v>
      </c>
      <c r="D6" s="95">
        <f>'Kal Grund Bremmel TH'!Q21</f>
        <v>0</v>
      </c>
      <c r="E6" s="97"/>
      <c r="F6" s="95">
        <f ca="1">'Kal Glasvitrinen Gesamt'!$L$5</f>
        <v>0</v>
      </c>
      <c r="G6" s="95">
        <f>'Kal Umkleidespinde Gesamt'!$J$5</f>
        <v>0</v>
      </c>
      <c r="H6" s="97"/>
      <c r="I6" s="97"/>
      <c r="J6" s="95">
        <f t="shared" ref="J6:J17" ca="1" si="0">SUM(C6:I6)</f>
        <v>0</v>
      </c>
      <c r="K6" s="95">
        <f t="shared" ref="K6:K17" ca="1" si="1">L6-J6</f>
        <v>0</v>
      </c>
      <c r="L6" s="95">
        <f t="shared" ref="L6:L17" ca="1" si="2">ROUND(J6*1.19,2)</f>
        <v>0</v>
      </c>
    </row>
    <row r="7" spans="1:12" ht="15" customHeight="1" x14ac:dyDescent="0.2">
      <c r="A7" s="14" t="s">
        <v>250</v>
      </c>
      <c r="B7" s="96">
        <v>1</v>
      </c>
      <c r="C7" s="95">
        <f ca="1">'Kal Unter Grundschule'!Q21</f>
        <v>0</v>
      </c>
      <c r="D7" s="95">
        <f>'Kal Grund Grundschule'!Q21</f>
        <v>0</v>
      </c>
      <c r="E7" s="95">
        <f ca="1">'Kal Unter Fer Grundschule'!Q21</f>
        <v>0</v>
      </c>
      <c r="F7" s="97"/>
      <c r="G7" s="97"/>
      <c r="H7" s="95">
        <f>SUMIF('Kal Matten Gesamt'!$B$6:$B6,$A$7,'Kal Matten Gesamt'!$K$6:$K6)</f>
        <v>0</v>
      </c>
      <c r="I7" s="95">
        <f>SUMIF('Kal Sonstiges Gesamt'!$B$5:$B$26,A7,'Kal Sonstiges Gesamt'!$Q$5:$Q$26)</f>
        <v>0</v>
      </c>
      <c r="J7" s="95">
        <f t="shared" ca="1" si="0"/>
        <v>0</v>
      </c>
      <c r="K7" s="95">
        <f t="shared" ca="1" si="1"/>
        <v>0</v>
      </c>
      <c r="L7" s="95">
        <f t="shared" ca="1" si="2"/>
        <v>0</v>
      </c>
    </row>
    <row r="8" spans="1:12" ht="15" customHeight="1" x14ac:dyDescent="0.2">
      <c r="A8" s="14" t="s">
        <v>252</v>
      </c>
      <c r="B8" s="96">
        <v>1</v>
      </c>
      <c r="C8" s="95">
        <f ca="1">'Kal Unter Hallenbad'!Q21</f>
        <v>0</v>
      </c>
      <c r="D8" s="95">
        <f>'Kal Grund Hallenbad'!Q21</f>
        <v>0</v>
      </c>
      <c r="E8" s="97"/>
      <c r="F8" s="97"/>
      <c r="G8" s="97"/>
      <c r="H8" s="97"/>
      <c r="I8" s="95">
        <f>SUMIF('Kal Sonstiges Gesamt'!$B$5:$B26,$A$8,'Kal Sonstiges Gesamt'!$Q$5:$Q26)</f>
        <v>0</v>
      </c>
      <c r="J8" s="95">
        <f t="shared" ca="1" si="0"/>
        <v>0</v>
      </c>
      <c r="K8" s="95">
        <f t="shared" ca="1" si="1"/>
        <v>0</v>
      </c>
      <c r="L8" s="95">
        <f t="shared" ca="1" si="2"/>
        <v>0</v>
      </c>
    </row>
    <row r="9" spans="1:12" ht="15" customHeight="1" x14ac:dyDescent="0.2">
      <c r="A9" s="14" t="s">
        <v>254</v>
      </c>
      <c r="B9" s="96">
        <v>1</v>
      </c>
      <c r="C9" s="95">
        <f ca="1">'Kal Unter Lehrschwimmbad'!Q21</f>
        <v>0</v>
      </c>
      <c r="D9" s="95">
        <f>'Kal Grund Lehrschwimmbad'!Q21</f>
        <v>0</v>
      </c>
      <c r="E9" s="97"/>
      <c r="F9" s="97"/>
      <c r="G9" s="97"/>
      <c r="H9" s="97"/>
      <c r="I9" s="97"/>
      <c r="J9" s="95">
        <f t="shared" ca="1" si="0"/>
        <v>0</v>
      </c>
      <c r="K9" s="95">
        <f t="shared" ca="1" si="1"/>
        <v>0</v>
      </c>
      <c r="L9" s="95">
        <f t="shared" ca="1" si="2"/>
        <v>0</v>
      </c>
    </row>
    <row r="10" spans="1:12" ht="15" customHeight="1" x14ac:dyDescent="0.2">
      <c r="A10" s="14" t="s">
        <v>256</v>
      </c>
      <c r="B10" s="96">
        <v>1</v>
      </c>
      <c r="C10" s="95">
        <f>'Kal Unter öffentl WC'!Q21</f>
        <v>0</v>
      </c>
      <c r="D10" s="97"/>
      <c r="E10" s="97"/>
      <c r="F10" s="97"/>
      <c r="G10" s="97"/>
      <c r="H10" s="97"/>
      <c r="I10" s="95">
        <f>SUMIF('Kal Sonstiges Gesamt'!$B$5:$B26,$A$10,'Kal Sonstiges Gesamt'!$Q$5:$Q26)</f>
        <v>0</v>
      </c>
      <c r="J10" s="95">
        <f t="shared" si="0"/>
        <v>0</v>
      </c>
      <c r="K10" s="95">
        <f t="shared" si="1"/>
        <v>0</v>
      </c>
      <c r="L10" s="95">
        <f t="shared" si="2"/>
        <v>0</v>
      </c>
    </row>
    <row r="11" spans="1:12" ht="15" customHeight="1" x14ac:dyDescent="0.2">
      <c r="A11" s="14" t="s">
        <v>259</v>
      </c>
      <c r="B11" s="96">
        <v>1</v>
      </c>
      <c r="C11" s="95">
        <f ca="1">'Kal Unter Rathaus'!Q21</f>
        <v>0</v>
      </c>
      <c r="D11" s="97"/>
      <c r="E11" s="97"/>
      <c r="F11" s="95">
        <f ca="1">SUM('Kal Glasvitrinen Gesamt'!$L$7:$L$8)</f>
        <v>0</v>
      </c>
      <c r="G11" s="97"/>
      <c r="H11" s="97"/>
      <c r="I11" s="95">
        <f>SUMIF('Kal Sonstiges Gesamt'!$B$5:$B26,$A$11,'Kal Sonstiges Gesamt'!$Q$5:$Q26)</f>
        <v>0</v>
      </c>
      <c r="J11" s="95">
        <f t="shared" ca="1" si="0"/>
        <v>0</v>
      </c>
      <c r="K11" s="95">
        <f t="shared" ca="1" si="1"/>
        <v>0</v>
      </c>
      <c r="L11" s="95">
        <f t="shared" ca="1" si="2"/>
        <v>0</v>
      </c>
    </row>
    <row r="12" spans="1:12" ht="15" customHeight="1" x14ac:dyDescent="0.2">
      <c r="A12" s="14" t="s">
        <v>261</v>
      </c>
      <c r="B12" s="96">
        <v>1</v>
      </c>
      <c r="C12" s="95">
        <f ca="1">'Kal Unter Schloss Ost'!Q21</f>
        <v>0</v>
      </c>
      <c r="D12" s="97"/>
      <c r="E12" s="97"/>
      <c r="F12" s="95">
        <f ca="1">'Kal Glasvitrinen Gesamt'!$L$11</f>
        <v>0</v>
      </c>
      <c r="G12" s="97"/>
      <c r="H12" s="97"/>
      <c r="I12" s="95">
        <f>SUMIF('Kal Sonstiges Gesamt'!$B$5:$B26,$A$12,'Kal Sonstiges Gesamt'!$Q$5:$Q26)</f>
        <v>0</v>
      </c>
      <c r="J12" s="95">
        <f t="shared" ca="1" si="0"/>
        <v>0</v>
      </c>
      <c r="K12" s="95">
        <f t="shared" ca="1" si="1"/>
        <v>0</v>
      </c>
      <c r="L12" s="95">
        <f t="shared" ca="1" si="2"/>
        <v>0</v>
      </c>
    </row>
    <row r="13" spans="1:12" ht="15" customHeight="1" x14ac:dyDescent="0.2">
      <c r="A13" s="14" t="s">
        <v>264</v>
      </c>
      <c r="B13" s="96">
        <v>1</v>
      </c>
      <c r="C13" s="95">
        <f ca="1">'Kal Unter Schloss West'!Q21</f>
        <v>0</v>
      </c>
      <c r="D13" s="97"/>
      <c r="E13" s="97"/>
      <c r="F13" s="97"/>
      <c r="G13" s="97"/>
      <c r="H13" s="97"/>
      <c r="I13" s="97"/>
      <c r="J13" s="95">
        <f t="shared" ca="1" si="0"/>
        <v>0</v>
      </c>
      <c r="K13" s="95">
        <f t="shared" ca="1" si="1"/>
        <v>0</v>
      </c>
      <c r="L13" s="95">
        <f t="shared" ca="1" si="2"/>
        <v>0</v>
      </c>
    </row>
    <row r="14" spans="1:12" ht="15" customHeight="1" x14ac:dyDescent="0.2">
      <c r="A14" s="14" t="s">
        <v>266</v>
      </c>
      <c r="B14" s="96">
        <v>1</v>
      </c>
      <c r="C14" s="95">
        <f ca="1">'Kal Unter SchlossWest RZ'!Q21</f>
        <v>0</v>
      </c>
      <c r="D14" s="97"/>
      <c r="E14" s="97"/>
      <c r="F14" s="97"/>
      <c r="G14" s="97"/>
      <c r="H14" s="97"/>
      <c r="I14" s="95">
        <f>SUMIF('Kal Sonstiges Gesamt'!$B$5:$B26,$A$14,'Kal Sonstiges Gesamt'!$Q$5:$Q26)</f>
        <v>0</v>
      </c>
      <c r="J14" s="95">
        <f t="shared" ca="1" si="0"/>
        <v>0</v>
      </c>
      <c r="K14" s="95">
        <f t="shared" ca="1" si="1"/>
        <v>0</v>
      </c>
      <c r="L14" s="95">
        <f t="shared" ca="1" si="2"/>
        <v>0</v>
      </c>
    </row>
    <row r="15" spans="1:12" ht="15" customHeight="1" x14ac:dyDescent="0.2">
      <c r="A15" s="14" t="s">
        <v>268</v>
      </c>
      <c r="B15" s="96">
        <v>1</v>
      </c>
      <c r="C15" s="95">
        <f ca="1">'Kal Unter Stadtinfo'!Q21</f>
        <v>0</v>
      </c>
      <c r="D15" s="97"/>
      <c r="E15" s="97"/>
      <c r="F15" s="97"/>
      <c r="G15" s="97"/>
      <c r="H15" s="97"/>
      <c r="I15" s="95">
        <f>SUMIF('Kal Sonstiges Gesamt'!$B$5:$B26,$A$15,'Kal Sonstiges Gesamt'!$Q$5:$Q26)</f>
        <v>0</v>
      </c>
      <c r="J15" s="95">
        <f t="shared" ca="1" si="0"/>
        <v>0</v>
      </c>
      <c r="K15" s="95">
        <f t="shared" ca="1" si="1"/>
        <v>0</v>
      </c>
      <c r="L15" s="95">
        <f t="shared" ca="1" si="2"/>
        <v>0</v>
      </c>
    </row>
    <row r="16" spans="1:12" ht="15" customHeight="1" x14ac:dyDescent="0.2">
      <c r="A16" s="14" t="s">
        <v>270</v>
      </c>
      <c r="B16" s="96">
        <v>1</v>
      </c>
      <c r="C16" s="95">
        <f ca="1">'Kal Unter Verwaltung I'!Q21</f>
        <v>0</v>
      </c>
      <c r="D16" s="97"/>
      <c r="E16" s="97"/>
      <c r="F16" s="97"/>
      <c r="G16" s="97"/>
      <c r="H16" s="97"/>
      <c r="I16" s="95">
        <f>SUMIF('Kal Sonstiges Gesamt'!$B$5:$B26,$A$16,'Kal Sonstiges Gesamt'!$Q$5:$Q26)</f>
        <v>0</v>
      </c>
      <c r="J16" s="95">
        <f t="shared" ca="1" si="0"/>
        <v>0</v>
      </c>
      <c r="K16" s="95">
        <f t="shared" ca="1" si="1"/>
        <v>0</v>
      </c>
      <c r="L16" s="95">
        <f t="shared" ca="1" si="2"/>
        <v>0</v>
      </c>
    </row>
    <row r="17" spans="1:12" ht="15" customHeight="1" x14ac:dyDescent="0.2">
      <c r="A17" s="14" t="s">
        <v>272</v>
      </c>
      <c r="B17" s="96">
        <v>1</v>
      </c>
      <c r="C17" s="95">
        <f ca="1">'Kal Unter Verwaltung II'!Q21</f>
        <v>0</v>
      </c>
      <c r="D17" s="97"/>
      <c r="E17" s="97"/>
      <c r="F17" s="97"/>
      <c r="G17" s="97"/>
      <c r="H17" s="97"/>
      <c r="I17" s="95">
        <f>SUMIF('Kal Sonstiges Gesamt'!$B$5:$B26,$A$17,'Kal Sonstiges Gesamt'!$Q$5:$Q26)</f>
        <v>0</v>
      </c>
      <c r="J17" s="95">
        <f t="shared" ca="1" si="0"/>
        <v>0</v>
      </c>
      <c r="K17" s="95">
        <f t="shared" ca="1" si="1"/>
        <v>0</v>
      </c>
      <c r="L17" s="95">
        <f t="shared" ca="1" si="2"/>
        <v>0</v>
      </c>
    </row>
    <row r="18" spans="1:12" ht="15" customHeight="1" x14ac:dyDescent="0.2">
      <c r="A18" s="195" t="s">
        <v>608</v>
      </c>
      <c r="B18" s="196"/>
      <c r="C18" s="197"/>
      <c r="D18" s="197"/>
      <c r="E18" s="197"/>
      <c r="F18" s="197"/>
      <c r="G18" s="197"/>
      <c r="H18" s="197"/>
      <c r="I18" s="197"/>
      <c r="J18" s="95">
        <f ca="1">ROUND(SUM(J6:J17),2)</f>
        <v>0</v>
      </c>
      <c r="K18" s="95">
        <f ca="1">ROUND(SUM(K6:K17),2)</f>
        <v>0</v>
      </c>
      <c r="L18" s="95">
        <f ca="1">ROUND(SUM(L6:L17),2)</f>
        <v>0</v>
      </c>
    </row>
  </sheetData>
  <sheetProtection algorithmName="SHA-512" hashValue="srQV/0kCbT1gEDoUARawkqfqTeVkeICWwQDULgo6MviUfs0mt5GqCgXbtww2Yr8jFuym/xcCbjATfjdrzYAUjA==" saltValue="Gx7LGWfE+EDaVRwux3AzWQ==" spinCount="100000" sheet="1" objects="1" scenarios="1"/>
  <mergeCells count="4">
    <mergeCell ref="J4:L4"/>
    <mergeCell ref="A18:I18"/>
    <mergeCell ref="A4:B4"/>
    <mergeCell ref="C2:G2"/>
  </mergeCells>
  <phoneticPr fontId="4" type="noConversion"/>
  <hyperlinks>
    <hyperlink ref="E1" location="'Inhaltsverzeichnis'!$A$1" display="Zurück zum Inhaltsverzeichnis" xr:uid="{E47FC31D-B962-4447-8C20-0BB1A0A5061E}"/>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&amp;R&amp;A&amp;LStadt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Hinweis">
                <anchor moveWithCells="1">
                  <from>
                    <xdr:col>1</xdr:col>
                    <xdr:colOff>180975</xdr:colOff>
                    <xdr:row>1</xdr:row>
                    <xdr:rowOff>28575</xdr:rowOff>
                  </from>
                  <to>
                    <xdr:col>1</xdr:col>
                    <xdr:colOff>933450</xdr:colOff>
                    <xdr:row>1</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indexed="58"/>
  </sheetPr>
  <dimension ref="A1:N12"/>
  <sheetViews>
    <sheetView showGridLines="0" zoomScaleNormal="100" workbookViewId="0"/>
  </sheetViews>
  <sheetFormatPr baseColWidth="10" defaultColWidth="11.42578125" defaultRowHeight="15" customHeight="1" x14ac:dyDescent="0.2"/>
  <cols>
    <col min="1" max="1" width="25.7109375" style="3" customWidth="1"/>
    <col min="2" max="2" width="15.28515625" style="3" customWidth="1"/>
    <col min="3" max="14" width="14.28515625" style="3" customWidth="1"/>
    <col min="15" max="16384" width="11.42578125" style="3"/>
  </cols>
  <sheetData>
    <row r="1" spans="1:14" ht="29.1" customHeight="1" x14ac:dyDescent="0.2">
      <c r="A1" s="3" t="s">
        <v>204</v>
      </c>
      <c r="F1" s="21"/>
      <c r="G1" s="21"/>
      <c r="H1" s="21"/>
      <c r="I1" s="5" t="s">
        <v>100</v>
      </c>
      <c r="M1" s="4"/>
    </row>
    <row r="2" spans="1:14" ht="23.45" customHeight="1" x14ac:dyDescent="0.2">
      <c r="B2" s="23" t="b">
        <v>0</v>
      </c>
      <c r="C2" s="192" t="str">
        <f>IF(B2=TRUE,"Hier muss nichts ausgefüllt werden. Füllen Sie zunächst in den folgenden Tabellen die gelben Zellen aus. Kehren Sie dann zu dieser Tabelle zurück.","")</f>
        <v/>
      </c>
      <c r="D2" s="192"/>
      <c r="E2" s="192"/>
      <c r="F2" s="192"/>
      <c r="G2" s="192"/>
      <c r="H2" s="192"/>
      <c r="I2" s="192"/>
    </row>
    <row r="3" spans="1:14" ht="23.45" customHeight="1" x14ac:dyDescent="0.2">
      <c r="A3" s="24" t="s">
        <v>105</v>
      </c>
      <c r="B3" s="25" t="str">
        <f>IF(Inhaltsverzeichnis!$C$3="", "",Inhaltsverzeichnis!$C$3)</f>
        <v/>
      </c>
    </row>
    <row r="4" spans="1:14" s="20" customFormat="1" ht="29.1" customHeight="1" x14ac:dyDescent="0.2">
      <c r="A4" s="201" t="s">
        <v>605</v>
      </c>
      <c r="B4" s="201"/>
      <c r="C4" s="201" t="s">
        <v>598</v>
      </c>
      <c r="D4" s="201"/>
      <c r="E4" s="201"/>
      <c r="F4" s="201" t="s">
        <v>601</v>
      </c>
      <c r="G4" s="201"/>
      <c r="H4" s="201"/>
      <c r="I4" s="201" t="s">
        <v>632</v>
      </c>
      <c r="J4" s="201"/>
      <c r="K4" s="201"/>
      <c r="L4" s="201" t="s">
        <v>635</v>
      </c>
      <c r="M4" s="201"/>
      <c r="N4" s="201"/>
    </row>
    <row r="5" spans="1:14" s="20" customFormat="1" ht="29.1" customHeight="1" x14ac:dyDescent="0.2">
      <c r="A5" s="98" t="s">
        <v>96</v>
      </c>
      <c r="B5" s="98" t="s">
        <v>200</v>
      </c>
      <c r="C5" s="98" t="s">
        <v>175</v>
      </c>
      <c r="D5" s="98" t="s">
        <v>606</v>
      </c>
      <c r="E5" s="98" t="s">
        <v>176</v>
      </c>
      <c r="F5" s="98" t="s">
        <v>175</v>
      </c>
      <c r="G5" s="98" t="s">
        <v>606</v>
      </c>
      <c r="H5" s="98" t="s">
        <v>176</v>
      </c>
      <c r="I5" s="98" t="s">
        <v>175</v>
      </c>
      <c r="J5" s="98" t="s">
        <v>606</v>
      </c>
      <c r="K5" s="98" t="s">
        <v>176</v>
      </c>
      <c r="L5" s="98" t="s">
        <v>175</v>
      </c>
      <c r="M5" s="98" t="s">
        <v>606</v>
      </c>
      <c r="N5" s="98" t="s">
        <v>176</v>
      </c>
    </row>
    <row r="6" spans="1:14" ht="15" customHeight="1" x14ac:dyDescent="0.2">
      <c r="A6" s="99" t="s">
        <v>244</v>
      </c>
      <c r="B6" s="101">
        <v>1</v>
      </c>
      <c r="C6" s="100">
        <f ca="1">'Kal Unter Bed Bremmel TH'!Q21</f>
        <v>0</v>
      </c>
      <c r="D6" s="100">
        <f ca="1">E6-C6</f>
        <v>0</v>
      </c>
      <c r="E6" s="100">
        <f ca="1">ROUND($C$6*1.19,2)</f>
        <v>0</v>
      </c>
      <c r="F6" s="100">
        <f>SUMIF('Kal Pflegefilm Bed'!$B$5:$B6,$A$6,'Kal Pflegefilm Bed'!$G$5:$G6)</f>
        <v>0</v>
      </c>
      <c r="G6" s="100">
        <f>$H$6-$F$6</f>
        <v>0</v>
      </c>
      <c r="H6" s="100">
        <f>ROUND($F$6*1.19,2)</f>
        <v>0</v>
      </c>
      <c r="I6" s="100">
        <f ca="1">'Kal Glasvitrinen Gesamt'!$L$6</f>
        <v>0</v>
      </c>
      <c r="J6" s="100">
        <f ca="1">K6-I6</f>
        <v>0</v>
      </c>
      <c r="K6" s="100">
        <f ca="1">ROUND(I6*1.19,2)</f>
        <v>0</v>
      </c>
      <c r="L6" s="100">
        <f>SUMIF('Kal Rohre u Balken Gesamt'!$B$5:$B$9,A6,'Kal Rohre u Balken Gesamt'!$K$5:$K$9)</f>
        <v>0</v>
      </c>
      <c r="M6" s="100">
        <f>N6-L6</f>
        <v>0</v>
      </c>
      <c r="N6" s="100">
        <f>ROUND(L6*1.19,2)</f>
        <v>0</v>
      </c>
    </row>
    <row r="7" spans="1:14" ht="15" customHeight="1" x14ac:dyDescent="0.2">
      <c r="A7" s="99" t="s">
        <v>250</v>
      </c>
      <c r="B7" s="101">
        <v>1</v>
      </c>
      <c r="C7" s="102"/>
      <c r="D7" s="102"/>
      <c r="E7" s="102"/>
      <c r="F7" s="100">
        <f>SUMIF('Kal Pflegefilm Bed'!$B$5:$B6,$A$7,'Kal Pflegefilm Bed'!$G$5:$G6)</f>
        <v>0</v>
      </c>
      <c r="G7" s="100">
        <f>$H$7-$F$7</f>
        <v>0</v>
      </c>
      <c r="H7" s="100">
        <f>ROUND($F$7*1.19,2)</f>
        <v>0</v>
      </c>
      <c r="I7" s="102"/>
      <c r="J7" s="102"/>
      <c r="K7" s="102"/>
      <c r="L7" s="100">
        <f>SUMIF('Kal Rohre u Balken Gesamt'!$B$5:$B$9,A7,'Kal Rohre u Balken Gesamt'!$K$5:$K$9)</f>
        <v>0</v>
      </c>
      <c r="M7" s="100">
        <f t="shared" ref="M7:M11" si="0">N7-L7</f>
        <v>0</v>
      </c>
      <c r="N7" s="100">
        <f t="shared" ref="N7:N11" si="1">ROUND(L7*1.19,2)</f>
        <v>0</v>
      </c>
    </row>
    <row r="8" spans="1:14" ht="15" customHeight="1" x14ac:dyDescent="0.2">
      <c r="A8" s="99" t="s">
        <v>252</v>
      </c>
      <c r="B8" s="101">
        <v>1</v>
      </c>
      <c r="C8" s="102"/>
      <c r="D8" s="102"/>
      <c r="E8" s="102"/>
      <c r="F8" s="102"/>
      <c r="G8" s="102"/>
      <c r="H8" s="102"/>
      <c r="I8" s="102"/>
      <c r="J8" s="102"/>
      <c r="K8" s="102"/>
      <c r="L8" s="100">
        <f>SUMIF('Kal Rohre u Balken Gesamt'!$B$5:$B$9,A8,'Kal Rohre u Balken Gesamt'!$K$5:$K$9)</f>
        <v>0</v>
      </c>
      <c r="M8" s="100">
        <f t="shared" si="0"/>
        <v>0</v>
      </c>
      <c r="N8" s="100">
        <f t="shared" si="1"/>
        <v>0</v>
      </c>
    </row>
    <row r="9" spans="1:14" ht="15" customHeight="1" x14ac:dyDescent="0.2">
      <c r="A9" s="99" t="s">
        <v>256</v>
      </c>
      <c r="B9" s="101">
        <v>1</v>
      </c>
      <c r="C9" s="100">
        <f>'Kal Unter Bed öffentl WC'!Q21</f>
        <v>0</v>
      </c>
      <c r="D9" s="100">
        <f>E9-C9</f>
        <v>0</v>
      </c>
      <c r="E9" s="100">
        <f>ROUND($C$9*1.19,2)</f>
        <v>0</v>
      </c>
      <c r="F9" s="102"/>
      <c r="G9" s="102"/>
      <c r="H9" s="102"/>
      <c r="I9" s="102"/>
      <c r="J9" s="102"/>
      <c r="K9" s="102"/>
      <c r="L9" s="102"/>
      <c r="M9" s="102"/>
      <c r="N9" s="102"/>
    </row>
    <row r="10" spans="1:14" ht="15" customHeight="1" x14ac:dyDescent="0.2">
      <c r="A10" s="99" t="s">
        <v>259</v>
      </c>
      <c r="B10" s="101">
        <v>1</v>
      </c>
      <c r="C10" s="102"/>
      <c r="D10" s="102"/>
      <c r="E10" s="102"/>
      <c r="F10" s="102"/>
      <c r="G10" s="102"/>
      <c r="H10" s="102"/>
      <c r="I10" s="100">
        <f ca="1">SUM('Kal Glasvitrinen Gesamt'!$L$9:$L$10)</f>
        <v>0</v>
      </c>
      <c r="J10" s="100">
        <f ca="1">K10-I10</f>
        <v>0</v>
      </c>
      <c r="K10" s="100">
        <f t="shared" ref="K10:K12" ca="1" si="2">ROUND(I10*1.19,2)</f>
        <v>0</v>
      </c>
      <c r="L10" s="102"/>
      <c r="M10" s="102"/>
      <c r="N10" s="102"/>
    </row>
    <row r="11" spans="1:14" ht="15" customHeight="1" x14ac:dyDescent="0.2">
      <c r="A11" s="99" t="s">
        <v>261</v>
      </c>
      <c r="B11" s="101">
        <v>1</v>
      </c>
      <c r="C11" s="100">
        <f ca="1">'Kal Unter Bed Schloss Ost'!Q21</f>
        <v>0</v>
      </c>
      <c r="D11" s="100">
        <f ca="1">E11-C11</f>
        <v>0</v>
      </c>
      <c r="E11" s="100">
        <f ca="1">ROUND($C$11*1.19,2)</f>
        <v>0</v>
      </c>
      <c r="F11" s="102"/>
      <c r="G11" s="102"/>
      <c r="H11" s="102"/>
      <c r="I11" s="100">
        <f ca="1">'Kal Glasvitrinen Gesamt'!$L$12</f>
        <v>0</v>
      </c>
      <c r="J11" s="100">
        <f ca="1">K11-I11</f>
        <v>0</v>
      </c>
      <c r="K11" s="100">
        <f t="shared" ca="1" si="2"/>
        <v>0</v>
      </c>
      <c r="L11" s="100">
        <f>SUMIF('Kal Rohre u Balken Gesamt'!$B$5:$B$9,A11,'Kal Rohre u Balken Gesamt'!$K$5:$K$9)</f>
        <v>0</v>
      </c>
      <c r="M11" s="100">
        <f t="shared" si="0"/>
        <v>0</v>
      </c>
      <c r="N11" s="100">
        <f t="shared" si="1"/>
        <v>0</v>
      </c>
    </row>
    <row r="12" spans="1:14" ht="15" customHeight="1" x14ac:dyDescent="0.2">
      <c r="A12" s="99" t="s">
        <v>272</v>
      </c>
      <c r="B12" s="101">
        <v>1</v>
      </c>
      <c r="C12" s="102"/>
      <c r="D12" s="102"/>
      <c r="E12" s="102"/>
      <c r="F12" s="102"/>
      <c r="G12" s="102"/>
      <c r="H12" s="102"/>
      <c r="I12" s="100">
        <f ca="1">'Kal Glasvitrinen Gesamt'!$L$13</f>
        <v>0</v>
      </c>
      <c r="J12" s="100">
        <f ca="1">K12-I12</f>
        <v>0</v>
      </c>
      <c r="K12" s="100">
        <f t="shared" ca="1" si="2"/>
        <v>0</v>
      </c>
      <c r="L12" s="102"/>
      <c r="M12" s="102"/>
      <c r="N12" s="102"/>
    </row>
  </sheetData>
  <sheetProtection algorithmName="SHA-512" hashValue="mNXJa3bta+lIcaFZNjdd3X9Yaj/afgnRnZ+FfQxRFkTAbdhEmlOIMfq4OSEJLUU2x/HD+ukPsbSIG5IDdJIfnQ==" saltValue="Cwm8gApyzQ0xnVLgQoZRpA==" spinCount="100000" sheet="1" objects="1" scenarios="1"/>
  <mergeCells count="6">
    <mergeCell ref="L4:N4"/>
    <mergeCell ref="A4:B4"/>
    <mergeCell ref="C2:I2"/>
    <mergeCell ref="F4:H4"/>
    <mergeCell ref="C4:E4"/>
    <mergeCell ref="I4:K4"/>
  </mergeCells>
  <phoneticPr fontId="4" type="noConversion"/>
  <hyperlinks>
    <hyperlink ref="I1" location="'Inhaltsverzeichnis'!$A$1" display="Zurück zum Inhaltsverzeichnis" xr:uid="{B63BC8B1-1165-4B64-BA52-2E95FFF303C1}"/>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&amp;R&amp;A&amp;LStadt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Hinweis">
                <anchor moveWithCells="1">
                  <from>
                    <xdr:col>1</xdr:col>
                    <xdr:colOff>180975</xdr:colOff>
                    <xdr:row>0</xdr:row>
                    <xdr:rowOff>285750</xdr:rowOff>
                  </from>
                  <to>
                    <xdr:col>1</xdr:col>
                    <xdr:colOff>971550</xdr:colOff>
                    <xdr:row>1</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8">
    <tabColor indexed="13"/>
    <pageSetUpPr fitToPage="1"/>
  </sheetPr>
  <dimension ref="A1:O79"/>
  <sheetViews>
    <sheetView showGridLines="0" zoomScaleNormal="100" zoomScaleSheetLayoutView="70" workbookViewId="0"/>
  </sheetViews>
  <sheetFormatPr baseColWidth="10" defaultColWidth="11.42578125" defaultRowHeight="10.5" x14ac:dyDescent="0.2"/>
  <cols>
    <col min="1" max="1" width="6.42578125" style="3" customWidth="1"/>
    <col min="2" max="2" width="2.7109375" style="3" customWidth="1"/>
    <col min="3" max="3" width="45.5703125" style="3" customWidth="1"/>
    <col min="4" max="4" width="8.5703125" style="3" customWidth="1"/>
    <col min="5" max="5" width="2.5703125" style="3" customWidth="1"/>
    <col min="6" max="6" width="11.42578125" style="3"/>
    <col min="7" max="7" width="2.85546875" style="3" customWidth="1"/>
    <col min="8" max="8" width="11.42578125" style="3"/>
    <col min="9" max="9" width="2.7109375" style="3" bestFit="1" customWidth="1"/>
    <col min="10" max="10" width="1.28515625" style="3" customWidth="1"/>
    <col min="11" max="11" width="18.28515625" style="3" bestFit="1" customWidth="1"/>
    <col min="12" max="16384" width="11.42578125" style="3"/>
  </cols>
  <sheetData>
    <row r="1" spans="1:11" ht="34.9" customHeight="1" x14ac:dyDescent="0.2">
      <c r="A1" s="125" t="str">
        <f ca="1">IF(H61&lt;&gt;"","","Bitte alle gelben Zellen ausfüllen.")</f>
        <v>Bitte alle gelben Zellen ausfüllen.</v>
      </c>
      <c r="D1" s="141" t="b">
        <v>0</v>
      </c>
      <c r="E1" s="192" t="str">
        <f>IF(D1=TRUE,"Alle gelben Zellen ausfüllen. Nichtbenötigte Positionen eindeutig mit 0 kennzeichnen.",IF(D2=TRUE,
"Die rot markierten Informationen sind nur zur Unterstützung. Sie zeigen an, wenn gelbe Zellen in dieser Tabelle nicht ausgefüllt sind. "&amp;
"Wenn keine rote Schrift mehr angezeigt wird, ist alles ausgefüllt.",""))</f>
        <v/>
      </c>
      <c r="F1" s="192"/>
      <c r="G1" s="192"/>
      <c r="H1" s="192"/>
      <c r="I1" s="192"/>
      <c r="K1" s="5" t="s">
        <v>100</v>
      </c>
    </row>
    <row r="2" spans="1:11" ht="33" customHeight="1" x14ac:dyDescent="0.2">
      <c r="A2" s="3" t="s">
        <v>105</v>
      </c>
      <c r="C2" s="3" t="str">
        <f>IF(Inhaltsverzeichnis!$C$3="", "",Inhaltsverzeichnis!$C$3)</f>
        <v/>
      </c>
      <c r="D2" s="23" t="b">
        <v>0</v>
      </c>
      <c r="E2" s="192"/>
      <c r="F2" s="192"/>
      <c r="G2" s="192"/>
      <c r="H2" s="192"/>
      <c r="I2" s="192"/>
    </row>
    <row r="3" spans="1:11" s="2" customFormat="1" ht="12.75" x14ac:dyDescent="0.2">
      <c r="A3" s="210" t="s">
        <v>104</v>
      </c>
      <c r="B3" s="210"/>
      <c r="C3" s="210"/>
      <c r="D3" s="210"/>
      <c r="E3" s="210"/>
      <c r="F3" s="210"/>
      <c r="G3" s="210"/>
      <c r="H3" s="210"/>
      <c r="I3" s="210"/>
    </row>
    <row r="4" spans="1:11" x14ac:dyDescent="0.2">
      <c r="A4" s="126"/>
      <c r="B4" s="126"/>
      <c r="C4" s="126"/>
      <c r="D4" s="126"/>
      <c r="E4" s="126"/>
      <c r="F4" s="126"/>
      <c r="G4" s="126"/>
      <c r="H4" s="126"/>
      <c r="I4" s="126"/>
    </row>
    <row r="5" spans="1:11" x14ac:dyDescent="0.2">
      <c r="A5" s="127" t="s">
        <v>1</v>
      </c>
      <c r="B5" s="127" t="s">
        <v>2</v>
      </c>
      <c r="C5" s="127"/>
      <c r="D5" s="127"/>
      <c r="E5" s="127"/>
      <c r="F5" s="128">
        <v>100</v>
      </c>
      <c r="G5" s="127" t="s">
        <v>3</v>
      </c>
      <c r="H5" s="8">
        <v>15.67</v>
      </c>
      <c r="I5" s="127" t="s">
        <v>4</v>
      </c>
      <c r="K5" s="129" t="str">
        <f ca="1">IF(H5="","Bitte ausfüllen!",IF(H61="","Der voreingetragene produktive Stundenlohn ist eine Mindestanforderung. Inhalt der gelben Zellen kann angepasst werden.",""))</f>
        <v>Der voreingetragene produktive Stundenlohn ist eine Mindestanforderung. Inhalt der gelben Zellen kann angepasst werden.</v>
      </c>
    </row>
    <row r="6" spans="1:11" x14ac:dyDescent="0.2">
      <c r="A6" s="126"/>
      <c r="B6" s="126"/>
      <c r="C6" s="126"/>
      <c r="D6" s="126"/>
      <c r="E6" s="126"/>
      <c r="F6" s="130"/>
      <c r="G6" s="126"/>
      <c r="H6" s="130"/>
      <c r="I6" s="126"/>
    </row>
    <row r="7" spans="1:11" x14ac:dyDescent="0.2">
      <c r="A7" s="127" t="s">
        <v>5</v>
      </c>
      <c r="B7" s="127" t="s">
        <v>6</v>
      </c>
      <c r="C7" s="127"/>
      <c r="D7" s="127"/>
      <c r="E7" s="127"/>
      <c r="F7" s="131"/>
      <c r="G7" s="127"/>
      <c r="H7" s="131"/>
      <c r="I7" s="127"/>
    </row>
    <row r="8" spans="1:11" ht="14.25" x14ac:dyDescent="0.2">
      <c r="A8" s="126" t="s">
        <v>7</v>
      </c>
      <c r="B8" s="126" t="s">
        <v>8</v>
      </c>
      <c r="C8" s="126"/>
      <c r="D8" s="126"/>
      <c r="E8" s="126"/>
      <c r="F8" s="131"/>
      <c r="G8" s="131"/>
      <c r="H8" s="131"/>
      <c r="I8" s="131"/>
      <c r="K8" s="132"/>
    </row>
    <row r="9" spans="1:11" x14ac:dyDescent="0.2">
      <c r="A9" s="126" t="s">
        <v>9</v>
      </c>
      <c r="B9" s="126"/>
      <c r="C9" s="126" t="s">
        <v>10</v>
      </c>
      <c r="D9" s="126"/>
      <c r="E9" s="126"/>
      <c r="F9" s="9"/>
      <c r="G9" s="126" t="s">
        <v>3</v>
      </c>
      <c r="H9" s="133" t="str">
        <f>IF(F9="","",ROUND(F9/100*$H$5,2))</f>
        <v/>
      </c>
      <c r="I9" s="126" t="s">
        <v>4</v>
      </c>
      <c r="K9" s="129" t="str">
        <f>IF(F9="","Bitte ausfüllen!","")</f>
        <v>Bitte ausfüllen!</v>
      </c>
    </row>
    <row r="10" spans="1:11" x14ac:dyDescent="0.2">
      <c r="A10" s="126" t="s">
        <v>11</v>
      </c>
      <c r="B10" s="126"/>
      <c r="C10" s="126" t="s">
        <v>12</v>
      </c>
      <c r="D10" s="126"/>
      <c r="E10" s="126"/>
      <c r="F10" s="9"/>
      <c r="G10" s="126" t="s">
        <v>3</v>
      </c>
      <c r="H10" s="133" t="str">
        <f>IF(F10="","",ROUND(F10/100*$H$5,2))</f>
        <v/>
      </c>
      <c r="I10" s="126" t="s">
        <v>4</v>
      </c>
      <c r="K10" s="129" t="str">
        <f>IF(F10="","Bitte ausfüllen!","")</f>
        <v>Bitte ausfüllen!</v>
      </c>
    </row>
    <row r="11" spans="1:11" x14ac:dyDescent="0.2">
      <c r="A11" s="126" t="s">
        <v>13</v>
      </c>
      <c r="B11" s="126"/>
      <c r="C11" s="126" t="s">
        <v>14</v>
      </c>
      <c r="D11" s="126"/>
      <c r="E11" s="126"/>
      <c r="F11" s="9"/>
      <c r="G11" s="126" t="s">
        <v>3</v>
      </c>
      <c r="H11" s="133" t="str">
        <f>IF(F11="","",ROUND(F11/100*$H$5,2))</f>
        <v/>
      </c>
      <c r="I11" s="126" t="s">
        <v>4</v>
      </c>
      <c r="K11" s="129" t="str">
        <f>IF(F11="","Bitte ausfüllen!","")</f>
        <v>Bitte ausfüllen!</v>
      </c>
    </row>
    <row r="12" spans="1:11" x14ac:dyDescent="0.2">
      <c r="A12" s="126" t="s">
        <v>15</v>
      </c>
      <c r="B12" s="126"/>
      <c r="C12" s="126" t="s">
        <v>16</v>
      </c>
      <c r="D12" s="126"/>
      <c r="E12" s="126"/>
      <c r="F12" s="9"/>
      <c r="G12" s="126" t="s">
        <v>3</v>
      </c>
      <c r="H12" s="133" t="str">
        <f>IF(F12="","",ROUND(F12/100*$H$5,2))</f>
        <v/>
      </c>
      <c r="I12" s="126" t="s">
        <v>4</v>
      </c>
      <c r="K12" s="129" t="str">
        <f>IF(F12="","Bitte ausfüllen!","")</f>
        <v>Bitte ausfüllen!</v>
      </c>
    </row>
    <row r="13" spans="1:11" x14ac:dyDescent="0.2">
      <c r="A13" s="126" t="s">
        <v>17</v>
      </c>
      <c r="B13" s="126"/>
      <c r="C13" s="126" t="s">
        <v>18</v>
      </c>
      <c r="D13" s="126"/>
      <c r="E13" s="126"/>
      <c r="F13" s="9"/>
      <c r="G13" s="126" t="s">
        <v>3</v>
      </c>
      <c r="H13" s="133" t="str">
        <f>IF(F13="","",ROUND(F13/100*$H$5,2))</f>
        <v/>
      </c>
      <c r="I13" s="126" t="s">
        <v>4</v>
      </c>
      <c r="K13" s="129" t="str">
        <f>IF(F13="","Bitte ausfüllen!","")</f>
        <v>Bitte ausfüllen!</v>
      </c>
    </row>
    <row r="14" spans="1:11" x14ac:dyDescent="0.2">
      <c r="A14" s="127"/>
      <c r="B14" s="127" t="s">
        <v>19</v>
      </c>
      <c r="C14" s="127"/>
      <c r="D14" s="127"/>
      <c r="E14" s="127"/>
      <c r="F14" s="134">
        <f>IF(SUM(F9:F13)=0,0,SUM(F9:F13))</f>
        <v>0</v>
      </c>
      <c r="G14" s="127" t="s">
        <v>3</v>
      </c>
      <c r="H14" s="135" t="str">
        <f>IF(COUNTIF(F9:F13,"")&gt;0,"",SUM(H8:H13))</f>
        <v/>
      </c>
      <c r="I14" s="127" t="s">
        <v>4</v>
      </c>
      <c r="K14" s="129" t="str">
        <f>IF(H14="","Angaben offen!","")</f>
        <v>Angaben offen!</v>
      </c>
    </row>
    <row r="15" spans="1:11" x14ac:dyDescent="0.2">
      <c r="A15" s="126"/>
      <c r="B15" s="126"/>
      <c r="C15" s="126"/>
      <c r="D15" s="126"/>
      <c r="E15" s="126"/>
      <c r="F15" s="130"/>
      <c r="G15" s="126"/>
      <c r="H15" s="130"/>
      <c r="I15" s="126"/>
    </row>
    <row r="16" spans="1:11" x14ac:dyDescent="0.2">
      <c r="A16" s="127" t="s">
        <v>20</v>
      </c>
      <c r="B16" s="127" t="s">
        <v>21</v>
      </c>
      <c r="C16" s="127"/>
      <c r="D16" s="127"/>
      <c r="E16" s="127"/>
      <c r="F16" s="131"/>
      <c r="G16" s="127"/>
      <c r="H16" s="131"/>
      <c r="I16" s="127"/>
    </row>
    <row r="17" spans="1:11" ht="11.25" x14ac:dyDescent="0.2">
      <c r="A17" s="126" t="s">
        <v>22</v>
      </c>
      <c r="B17" s="126" t="s">
        <v>127</v>
      </c>
      <c r="C17" s="126"/>
      <c r="D17" s="9">
        <f>D73</f>
        <v>7.3</v>
      </c>
      <c r="E17" s="126" t="s">
        <v>3</v>
      </c>
      <c r="F17" s="130"/>
      <c r="G17" s="126"/>
      <c r="H17" s="130"/>
      <c r="I17" s="126"/>
      <c r="K17" s="129" t="str">
        <f ca="1">IF(D17&lt;D73,"Wert prüfen!",IF(H61="","Inhalt der gelben Zellen kann angepasst werden.",""))</f>
        <v>Inhalt der gelben Zellen kann angepasst werden.</v>
      </c>
    </row>
    <row r="18" spans="1:11" x14ac:dyDescent="0.2">
      <c r="A18" s="126"/>
      <c r="B18" s="126" t="s">
        <v>23</v>
      </c>
      <c r="C18" s="126"/>
      <c r="D18" s="136">
        <f>(D17/100)*$F$14</f>
        <v>0</v>
      </c>
      <c r="E18" s="126" t="s">
        <v>3</v>
      </c>
      <c r="F18" s="137">
        <f>IF(D18="","",D17+D18)</f>
        <v>7.3</v>
      </c>
      <c r="G18" s="126" t="s">
        <v>3</v>
      </c>
      <c r="H18" s="133">
        <f>IF(D18="","",ROUND(F18/100*$H$5,2))</f>
        <v>1.1399999999999999</v>
      </c>
      <c r="I18" s="126" t="s">
        <v>4</v>
      </c>
      <c r="K18" s="129"/>
    </row>
    <row r="19" spans="1:11" ht="11.25" x14ac:dyDescent="0.2">
      <c r="A19" s="126" t="s">
        <v>24</v>
      </c>
      <c r="B19" s="126" t="s">
        <v>128</v>
      </c>
      <c r="C19" s="126"/>
      <c r="D19" s="9">
        <f>D74</f>
        <v>9.3000000000000007</v>
      </c>
      <c r="E19" s="126" t="s">
        <v>3</v>
      </c>
      <c r="F19" s="138"/>
      <c r="G19" s="126"/>
      <c r="H19" s="130"/>
      <c r="I19" s="126"/>
      <c r="K19" s="129" t="str">
        <f ca="1">IF(D19&lt;&gt;D74,"Wert prüfen!",IF(H61="","Inhalt der gelben Zellen kann angepasst werden.",""))</f>
        <v>Inhalt der gelben Zellen kann angepasst werden.</v>
      </c>
    </row>
    <row r="20" spans="1:11" x14ac:dyDescent="0.2">
      <c r="A20" s="126"/>
      <c r="B20" s="126" t="s">
        <v>25</v>
      </c>
      <c r="C20" s="126"/>
      <c r="D20" s="136">
        <f>(D19/100)*$F$14</f>
        <v>0</v>
      </c>
      <c r="E20" s="126" t="s">
        <v>3</v>
      </c>
      <c r="F20" s="137">
        <f>IF(D20="","",D19+D20)</f>
        <v>9.3000000000000007</v>
      </c>
      <c r="G20" s="126" t="s">
        <v>3</v>
      </c>
      <c r="H20" s="133">
        <f>IF(D20="","",ROUND(F20/100*$H$5,2))</f>
        <v>1.46</v>
      </c>
      <c r="I20" s="126" t="s">
        <v>4</v>
      </c>
      <c r="K20" s="129"/>
    </row>
    <row r="21" spans="1:11" ht="11.25" x14ac:dyDescent="0.2">
      <c r="A21" s="126" t="s">
        <v>26</v>
      </c>
      <c r="B21" s="126" t="s">
        <v>129</v>
      </c>
      <c r="C21" s="126"/>
      <c r="D21" s="9">
        <f>D75</f>
        <v>1.3</v>
      </c>
      <c r="E21" s="126" t="s">
        <v>3</v>
      </c>
      <c r="F21" s="138"/>
      <c r="G21" s="126"/>
      <c r="H21" s="130"/>
      <c r="I21" s="126"/>
      <c r="K21" s="129" t="str">
        <f ca="1">IF(D21&lt;&gt;D75,"Wert prüfen!",IF(H61="","Inhalt der gelben Zellen kann angepasst werden.",""))</f>
        <v>Inhalt der gelben Zellen kann angepasst werden.</v>
      </c>
    </row>
    <row r="22" spans="1:11" x14ac:dyDescent="0.2">
      <c r="A22" s="126"/>
      <c r="B22" s="126" t="s">
        <v>27</v>
      </c>
      <c r="C22" s="126"/>
      <c r="D22" s="136">
        <f>(D21/100)*$F$14</f>
        <v>0</v>
      </c>
      <c r="E22" s="126" t="s">
        <v>3</v>
      </c>
      <c r="F22" s="137">
        <f>IF(D22="","",D21+D22)</f>
        <v>1.3</v>
      </c>
      <c r="G22" s="126" t="s">
        <v>3</v>
      </c>
      <c r="H22" s="133">
        <f>IF(D22="","",ROUND(F22/100*$H$5,2))</f>
        <v>0.2</v>
      </c>
      <c r="I22" s="126" t="s">
        <v>4</v>
      </c>
      <c r="K22" s="129"/>
    </row>
    <row r="23" spans="1:11" ht="11.25" x14ac:dyDescent="0.2">
      <c r="A23" s="126" t="s">
        <v>28</v>
      </c>
      <c r="B23" s="126" t="s">
        <v>130</v>
      </c>
      <c r="C23" s="126"/>
      <c r="D23" s="9">
        <f>D76</f>
        <v>1.8</v>
      </c>
      <c r="E23" s="126" t="s">
        <v>3</v>
      </c>
      <c r="F23" s="138"/>
      <c r="G23" s="126"/>
      <c r="H23" s="130"/>
      <c r="I23" s="126"/>
      <c r="K23" s="129" t="str">
        <f ca="1">IF(D23&lt;&gt;D76,"Wert prüfen!",IF(H61="","Inhalt der gelben Zellen kann angepasst werden.",""))</f>
        <v>Inhalt der gelben Zellen kann angepasst werden.</v>
      </c>
    </row>
    <row r="24" spans="1:11" x14ac:dyDescent="0.2">
      <c r="A24" s="126"/>
      <c r="B24" s="126" t="s">
        <v>29</v>
      </c>
      <c r="C24" s="126"/>
      <c r="D24" s="136">
        <f>(D23/100)*$F$14</f>
        <v>0</v>
      </c>
      <c r="E24" s="126" t="s">
        <v>3</v>
      </c>
      <c r="F24" s="137">
        <f>IF(D24="","",D23+D24)</f>
        <v>1.8</v>
      </c>
      <c r="G24" s="126" t="s">
        <v>3</v>
      </c>
      <c r="H24" s="133">
        <f>IF(D24="","",ROUND(F24/100*$H$5,2))</f>
        <v>0.28000000000000003</v>
      </c>
      <c r="I24" s="126" t="s">
        <v>4</v>
      </c>
      <c r="K24" s="129"/>
    </row>
    <row r="25" spans="1:11" ht="11.25" x14ac:dyDescent="0.2">
      <c r="A25" s="126" t="s">
        <v>30</v>
      </c>
      <c r="B25" s="126" t="s">
        <v>131</v>
      </c>
      <c r="C25" s="126"/>
      <c r="D25" s="9"/>
      <c r="E25" s="126" t="s">
        <v>3</v>
      </c>
      <c r="F25" s="138"/>
      <c r="G25" s="126"/>
      <c r="H25" s="130"/>
      <c r="I25" s="126"/>
      <c r="K25" s="129" t="str">
        <f>IF(D25="","Bitte ausfüllen!","")</f>
        <v>Bitte ausfüllen!</v>
      </c>
    </row>
    <row r="26" spans="1:11" x14ac:dyDescent="0.2">
      <c r="A26" s="126"/>
      <c r="B26" s="126" t="s">
        <v>31</v>
      </c>
      <c r="C26" s="126"/>
      <c r="D26" s="136">
        <f>(D25/100)*$F$14</f>
        <v>0</v>
      </c>
      <c r="E26" s="126" t="s">
        <v>3</v>
      </c>
      <c r="F26" s="137">
        <f>IF(D26="","",D25+D26)</f>
        <v>0</v>
      </c>
      <c r="G26" s="126" t="s">
        <v>3</v>
      </c>
      <c r="H26" s="133">
        <f>IF(D26="","",ROUND(F26/100*$H$5,2))</f>
        <v>0</v>
      </c>
      <c r="I26" s="126" t="s">
        <v>4</v>
      </c>
      <c r="K26" s="129"/>
    </row>
    <row r="27" spans="1:11" ht="11.25" x14ac:dyDescent="0.2">
      <c r="A27" s="126" t="s">
        <v>32</v>
      </c>
      <c r="B27" s="126" t="s">
        <v>132</v>
      </c>
      <c r="C27" s="126"/>
      <c r="D27" s="126"/>
      <c r="E27" s="126"/>
      <c r="F27" s="9"/>
      <c r="G27" s="126" t="s">
        <v>3</v>
      </c>
      <c r="H27" s="133" t="str">
        <f>IF(F27="","",ROUND(F27/100*$H$5,2))</f>
        <v/>
      </c>
      <c r="I27" s="126" t="s">
        <v>4</v>
      </c>
      <c r="K27" s="129" t="str">
        <f>IF(F27="","Bitte ausfüllen!","")</f>
        <v>Bitte ausfüllen!</v>
      </c>
    </row>
    <row r="28" spans="1:11" ht="11.25" x14ac:dyDescent="0.2">
      <c r="A28" s="126" t="s">
        <v>33</v>
      </c>
      <c r="B28" s="126" t="s">
        <v>133</v>
      </c>
      <c r="C28" s="126"/>
      <c r="D28" s="126"/>
      <c r="E28" s="126"/>
      <c r="F28" s="9">
        <f>D79</f>
        <v>0.15</v>
      </c>
      <c r="G28" s="126" t="s">
        <v>3</v>
      </c>
      <c r="H28" s="133">
        <f>IF(F28="","",ROUND(F28/100*$H$5,2))</f>
        <v>0.02</v>
      </c>
      <c r="I28" s="126" t="s">
        <v>4</v>
      </c>
      <c r="K28" s="129" t="str">
        <f ca="1">IF(F28&lt;&gt;D79,"Wert prüfen!",IF(H61="","Inhalt der gelben Zellen kann angepasst werden.",""))</f>
        <v>Inhalt der gelben Zellen kann angepasst werden.</v>
      </c>
    </row>
    <row r="29" spans="1:11" ht="23.45" customHeight="1" x14ac:dyDescent="0.2">
      <c r="A29" s="127"/>
      <c r="B29" s="212" t="s">
        <v>34</v>
      </c>
      <c r="C29" s="212"/>
      <c r="D29" s="127"/>
      <c r="E29" s="127"/>
      <c r="F29" s="134">
        <f>IF(SUM(F17:F28)=0,0,SUM(F17:F28)+F14)</f>
        <v>19.850000000000001</v>
      </c>
      <c r="G29" s="127" t="s">
        <v>3</v>
      </c>
      <c r="H29" s="135" t="str">
        <f>IF(OR(COUNTIF(D17:D26,"")&gt;0,COUNTIF(F27:F28,"")&gt;0),"",SUM(H17:H28)+H14)</f>
        <v/>
      </c>
      <c r="I29" s="127" t="s">
        <v>4</v>
      </c>
      <c r="K29" s="129" t="str">
        <f>IF(H29="","Angaben offen!","")</f>
        <v>Angaben offen!</v>
      </c>
    </row>
    <row r="30" spans="1:11" ht="5.45" customHeight="1" x14ac:dyDescent="0.2">
      <c r="A30" s="126"/>
      <c r="B30" s="126"/>
      <c r="C30" s="126"/>
      <c r="D30" s="126"/>
      <c r="E30" s="126"/>
      <c r="F30" s="130"/>
      <c r="G30" s="126"/>
      <c r="H30" s="130"/>
      <c r="I30" s="126"/>
    </row>
    <row r="31" spans="1:11" x14ac:dyDescent="0.2">
      <c r="A31" s="126"/>
      <c r="B31" s="127" t="s">
        <v>35</v>
      </c>
      <c r="C31" s="126"/>
      <c r="D31" s="126"/>
      <c r="E31" s="126"/>
      <c r="F31" s="130"/>
      <c r="G31" s="126"/>
      <c r="H31" s="130"/>
      <c r="I31" s="126"/>
    </row>
    <row r="32" spans="1:11" x14ac:dyDescent="0.2">
      <c r="A32" s="126" t="s">
        <v>36</v>
      </c>
      <c r="B32" s="126" t="s">
        <v>37</v>
      </c>
      <c r="C32" s="126"/>
      <c r="D32" s="126"/>
      <c r="E32" s="126"/>
      <c r="F32" s="9"/>
      <c r="G32" s="126" t="s">
        <v>3</v>
      </c>
      <c r="H32" s="133" t="str">
        <f>IF(F32="","",ROUND(F32/100*$H$5,2))</f>
        <v/>
      </c>
      <c r="I32" s="126" t="s">
        <v>4</v>
      </c>
      <c r="K32" s="129" t="str">
        <f>IF(F32="","Bitte ausfüllen!","")</f>
        <v>Bitte ausfüllen!</v>
      </c>
    </row>
    <row r="33" spans="1:11" x14ac:dyDescent="0.2">
      <c r="A33" s="126" t="s">
        <v>38</v>
      </c>
      <c r="B33" s="126" t="s">
        <v>39</v>
      </c>
      <c r="C33" s="126"/>
      <c r="D33" s="126"/>
      <c r="E33" s="126"/>
      <c r="F33" s="9"/>
      <c r="G33" s="126" t="s">
        <v>3</v>
      </c>
      <c r="H33" s="133" t="str">
        <f>IF(F33="","",ROUND(F33/100*$H$5,2))</f>
        <v/>
      </c>
      <c r="I33" s="126" t="s">
        <v>4</v>
      </c>
      <c r="K33" s="129" t="str">
        <f>IF(F33="","Bitte ausfüllen!","")</f>
        <v>Bitte ausfüllen!</v>
      </c>
    </row>
    <row r="34" spans="1:11" ht="22.15" customHeight="1" x14ac:dyDescent="0.2">
      <c r="A34" s="127"/>
      <c r="B34" s="212" t="s">
        <v>40</v>
      </c>
      <c r="C34" s="212"/>
      <c r="D34" s="127"/>
      <c r="E34" s="127"/>
      <c r="F34" s="134">
        <f>IF(SUM(F32:F33)=0,0,SUM(F32:F33)+F29)</f>
        <v>0</v>
      </c>
      <c r="G34" s="127" t="s">
        <v>3</v>
      </c>
      <c r="H34" s="135" t="str">
        <f>IF(COUNTIF(H32:H33,"")&gt;0,"",SUM(H32:H33)+H29)</f>
        <v/>
      </c>
      <c r="I34" s="127" t="s">
        <v>4</v>
      </c>
      <c r="K34" s="129" t="str">
        <f>IF(H34="","Angaben offen!","")</f>
        <v>Angaben offen!</v>
      </c>
    </row>
    <row r="35" spans="1:11" ht="5.45" customHeight="1" x14ac:dyDescent="0.2">
      <c r="A35" s="126"/>
      <c r="B35" s="126"/>
      <c r="C35" s="126"/>
      <c r="D35" s="126"/>
      <c r="E35" s="126"/>
      <c r="F35" s="130"/>
      <c r="G35" s="126"/>
      <c r="H35" s="130"/>
      <c r="I35" s="126"/>
    </row>
    <row r="36" spans="1:11" x14ac:dyDescent="0.2">
      <c r="A36" s="127" t="s">
        <v>41</v>
      </c>
      <c r="B36" s="127" t="s">
        <v>42</v>
      </c>
      <c r="C36" s="127"/>
      <c r="D36" s="127"/>
      <c r="E36" s="127"/>
      <c r="F36" s="131"/>
      <c r="G36" s="127"/>
      <c r="H36" s="131"/>
      <c r="I36" s="127"/>
    </row>
    <row r="37" spans="1:11" x14ac:dyDescent="0.2">
      <c r="A37" s="126" t="s">
        <v>43</v>
      </c>
      <c r="B37" s="126" t="s">
        <v>44</v>
      </c>
      <c r="C37" s="126"/>
      <c r="D37" s="126"/>
      <c r="E37" s="126"/>
      <c r="F37" s="130"/>
      <c r="G37" s="126"/>
      <c r="H37" s="130"/>
      <c r="I37" s="126"/>
    </row>
    <row r="38" spans="1:11" x14ac:dyDescent="0.2">
      <c r="A38" s="126"/>
      <c r="B38" s="126" t="s">
        <v>45</v>
      </c>
      <c r="C38" s="126"/>
      <c r="D38" s="126"/>
      <c r="E38" s="126"/>
      <c r="F38" s="9"/>
      <c r="G38" s="126" t="s">
        <v>3</v>
      </c>
      <c r="H38" s="133" t="str">
        <f>IF(F38="","",ROUND(F38/100*$H$5,2))</f>
        <v/>
      </c>
      <c r="I38" s="126" t="s">
        <v>4</v>
      </c>
      <c r="K38" s="129" t="str">
        <f>IF(F38="","Bitte ausfüllen!","")</f>
        <v>Bitte ausfüllen!</v>
      </c>
    </row>
    <row r="39" spans="1:11" x14ac:dyDescent="0.2">
      <c r="A39" s="126" t="s">
        <v>46</v>
      </c>
      <c r="B39" s="126" t="s">
        <v>47</v>
      </c>
      <c r="C39" s="126"/>
      <c r="D39" s="126"/>
      <c r="E39" s="126"/>
      <c r="F39" s="9"/>
      <c r="G39" s="126" t="s">
        <v>3</v>
      </c>
      <c r="H39" s="133" t="str">
        <f>IF(F39="","",ROUND(F39/100*$H$5,2))</f>
        <v/>
      </c>
      <c r="I39" s="126" t="s">
        <v>4</v>
      </c>
      <c r="K39" s="129" t="str">
        <f>IF(F39="","Bitte ausfüllen!","")</f>
        <v>Bitte ausfüllen!</v>
      </c>
    </row>
    <row r="40" spans="1:11" x14ac:dyDescent="0.2">
      <c r="A40" s="126" t="s">
        <v>48</v>
      </c>
      <c r="B40" s="126" t="s">
        <v>49</v>
      </c>
      <c r="C40" s="126"/>
      <c r="D40" s="126"/>
      <c r="E40" s="126"/>
      <c r="F40" s="9"/>
      <c r="G40" s="126" t="s">
        <v>3</v>
      </c>
      <c r="H40" s="133" t="str">
        <f>IF(F40="","",ROUND(F40/100*$H$5,2))</f>
        <v/>
      </c>
      <c r="I40" s="126" t="s">
        <v>4</v>
      </c>
      <c r="K40" s="129" t="str">
        <f>IF(F40="","Bitte ausfüllen!","")</f>
        <v>Bitte ausfüllen!</v>
      </c>
    </row>
    <row r="41" spans="1:11" x14ac:dyDescent="0.2">
      <c r="A41" s="126" t="s">
        <v>50</v>
      </c>
      <c r="B41" s="126" t="s">
        <v>51</v>
      </c>
      <c r="C41" s="126"/>
      <c r="D41" s="126"/>
      <c r="E41" s="126"/>
      <c r="F41" s="9"/>
      <c r="G41" s="126" t="s">
        <v>3</v>
      </c>
      <c r="H41" s="133" t="str">
        <f>IF(F41="","",ROUND(F41/100*$H$5,2))</f>
        <v/>
      </c>
      <c r="I41" s="126" t="s">
        <v>4</v>
      </c>
      <c r="K41" s="129" t="str">
        <f>IF(F41="","Bitte ausfüllen!","")</f>
        <v>Bitte ausfüllen!</v>
      </c>
    </row>
    <row r="42" spans="1:11" ht="23.45" customHeight="1" x14ac:dyDescent="0.2">
      <c r="A42" s="127"/>
      <c r="B42" s="212" t="s">
        <v>52</v>
      </c>
      <c r="C42" s="212"/>
      <c r="D42" s="127"/>
      <c r="E42" s="127"/>
      <c r="F42" s="134">
        <f>IF(SUM(F38:F41)=0,0,SUM(F38:F41))</f>
        <v>0</v>
      </c>
      <c r="G42" s="127" t="s">
        <v>3</v>
      </c>
      <c r="H42" s="135" t="str">
        <f>IF(COUNTIF(H38:H41,"")&gt;0,"",SUM(H38:H41))</f>
        <v/>
      </c>
      <c r="I42" s="127" t="s">
        <v>4</v>
      </c>
      <c r="K42" s="129" t="str">
        <f>IF(H42="","Angaben offen!","")</f>
        <v>Angaben offen!</v>
      </c>
    </row>
    <row r="43" spans="1:11" ht="5.45" customHeight="1" x14ac:dyDescent="0.2">
      <c r="A43" s="126"/>
      <c r="B43" s="126"/>
      <c r="C43" s="126"/>
      <c r="D43" s="126"/>
      <c r="E43" s="126"/>
      <c r="F43" s="130"/>
      <c r="G43" s="126"/>
      <c r="H43" s="130"/>
      <c r="I43" s="126"/>
    </row>
    <row r="44" spans="1:11" x14ac:dyDescent="0.2">
      <c r="A44" s="127" t="s">
        <v>53</v>
      </c>
      <c r="B44" s="127" t="s">
        <v>54</v>
      </c>
      <c r="C44" s="127"/>
      <c r="D44" s="127"/>
      <c r="E44" s="127"/>
      <c r="F44" s="127"/>
      <c r="G44" s="127"/>
      <c r="H44" s="127"/>
      <c r="I44" s="127"/>
    </row>
    <row r="45" spans="1:11" x14ac:dyDescent="0.2">
      <c r="A45" s="126" t="s">
        <v>55</v>
      </c>
      <c r="B45" s="126" t="s">
        <v>56</v>
      </c>
      <c r="C45" s="126"/>
      <c r="D45" s="126"/>
      <c r="E45" s="126"/>
      <c r="F45" s="126"/>
      <c r="G45" s="126"/>
      <c r="H45" s="126"/>
      <c r="I45" s="126"/>
    </row>
    <row r="46" spans="1:11" x14ac:dyDescent="0.2">
      <c r="A46" s="126" t="s">
        <v>57</v>
      </c>
      <c r="B46" s="126"/>
      <c r="C46" s="126" t="s">
        <v>58</v>
      </c>
      <c r="D46" s="126"/>
      <c r="E46" s="126"/>
      <c r="F46" s="9"/>
      <c r="G46" s="126" t="s">
        <v>3</v>
      </c>
      <c r="H46" s="133" t="str">
        <f>IF(F46="","",ROUND(F46/100*$H$5,2))</f>
        <v/>
      </c>
      <c r="I46" s="126" t="s">
        <v>4</v>
      </c>
      <c r="K46" s="129" t="str">
        <f>IF(F46="","Bitte ausfüllen!","")</f>
        <v>Bitte ausfüllen!</v>
      </c>
    </row>
    <row r="47" spans="1:11" x14ac:dyDescent="0.2">
      <c r="A47" s="126" t="s">
        <v>59</v>
      </c>
      <c r="B47" s="126"/>
      <c r="C47" s="126" t="s">
        <v>126</v>
      </c>
      <c r="D47" s="126"/>
      <c r="E47" s="126"/>
      <c r="F47" s="9"/>
      <c r="G47" s="126" t="s">
        <v>3</v>
      </c>
      <c r="H47" s="133" t="str">
        <f>IF(F47="","",ROUND(F47/100*$H$5,2))</f>
        <v/>
      </c>
      <c r="I47" s="126" t="s">
        <v>4</v>
      </c>
      <c r="K47" s="129" t="str">
        <f>IF(F47="","Bitte ausfüllen!","")</f>
        <v>Bitte ausfüllen!</v>
      </c>
    </row>
    <row r="48" spans="1:11" x14ac:dyDescent="0.2">
      <c r="A48" s="126" t="s">
        <v>60</v>
      </c>
      <c r="B48" s="126" t="s">
        <v>61</v>
      </c>
      <c r="C48" s="126"/>
      <c r="D48" s="126"/>
      <c r="E48" s="126"/>
      <c r="F48" s="9"/>
      <c r="G48" s="126" t="s">
        <v>3</v>
      </c>
      <c r="H48" s="133" t="str">
        <f>IF(F48="","",ROUND(F48/100*$H$5,2))</f>
        <v/>
      </c>
      <c r="I48" s="126" t="s">
        <v>4</v>
      </c>
      <c r="K48" s="129" t="str">
        <f>IF(F48="","Bitte ausfüllen!","")</f>
        <v>Bitte ausfüllen!</v>
      </c>
    </row>
    <row r="49" spans="1:11" x14ac:dyDescent="0.2">
      <c r="A49" s="126" t="s">
        <v>62</v>
      </c>
      <c r="B49" s="126" t="s">
        <v>63</v>
      </c>
      <c r="C49" s="126"/>
      <c r="D49" s="126"/>
      <c r="E49" s="126"/>
      <c r="F49" s="126"/>
      <c r="G49" s="126"/>
      <c r="H49" s="126"/>
      <c r="I49" s="126"/>
    </row>
    <row r="50" spans="1:11" x14ac:dyDescent="0.2">
      <c r="A50" s="126" t="s">
        <v>64</v>
      </c>
      <c r="B50" s="126"/>
      <c r="C50" s="126" t="s">
        <v>65</v>
      </c>
      <c r="D50" s="126"/>
      <c r="E50" s="126"/>
      <c r="F50" s="9"/>
      <c r="G50" s="126" t="s">
        <v>3</v>
      </c>
      <c r="H50" s="133" t="str">
        <f t="shared" ref="H50:H56" si="0">IF(F50="","",ROUND(F50/100*$H$5,2))</f>
        <v/>
      </c>
      <c r="I50" s="126" t="s">
        <v>4</v>
      </c>
      <c r="K50" s="129" t="str">
        <f t="shared" ref="K50:K56" si="1">IF(F50="","Bitte ausfüllen!","")</f>
        <v>Bitte ausfüllen!</v>
      </c>
    </row>
    <row r="51" spans="1:11" x14ac:dyDescent="0.2">
      <c r="A51" s="126" t="s">
        <v>66</v>
      </c>
      <c r="B51" s="126"/>
      <c r="C51" s="126" t="s">
        <v>67</v>
      </c>
      <c r="D51" s="126"/>
      <c r="E51" s="126"/>
      <c r="F51" s="9"/>
      <c r="G51" s="126" t="s">
        <v>3</v>
      </c>
      <c r="H51" s="133" t="str">
        <f t="shared" si="0"/>
        <v/>
      </c>
      <c r="I51" s="126" t="s">
        <v>4</v>
      </c>
      <c r="K51" s="129" t="str">
        <f t="shared" si="1"/>
        <v>Bitte ausfüllen!</v>
      </c>
    </row>
    <row r="52" spans="1:11" x14ac:dyDescent="0.2">
      <c r="A52" s="126" t="s">
        <v>68</v>
      </c>
      <c r="B52" s="126" t="s">
        <v>69</v>
      </c>
      <c r="C52" s="126"/>
      <c r="D52" s="126"/>
      <c r="E52" s="126"/>
      <c r="F52" s="9"/>
      <c r="G52" s="126" t="s">
        <v>3</v>
      </c>
      <c r="H52" s="133" t="str">
        <f t="shared" si="0"/>
        <v/>
      </c>
      <c r="I52" s="126" t="s">
        <v>4</v>
      </c>
      <c r="K52" s="129" t="str">
        <f t="shared" si="1"/>
        <v>Bitte ausfüllen!</v>
      </c>
    </row>
    <row r="53" spans="1:11" x14ac:dyDescent="0.2">
      <c r="A53" s="126" t="s">
        <v>70</v>
      </c>
      <c r="B53" s="126" t="s">
        <v>71</v>
      </c>
      <c r="C53" s="126"/>
      <c r="D53" s="126"/>
      <c r="E53" s="126"/>
      <c r="F53" s="9"/>
      <c r="G53" s="126" t="s">
        <v>3</v>
      </c>
      <c r="H53" s="133" t="str">
        <f t="shared" si="0"/>
        <v/>
      </c>
      <c r="I53" s="126" t="s">
        <v>4</v>
      </c>
      <c r="K53" s="129" t="str">
        <f t="shared" si="1"/>
        <v>Bitte ausfüllen!</v>
      </c>
    </row>
    <row r="54" spans="1:11" x14ac:dyDescent="0.2">
      <c r="A54" s="126" t="s">
        <v>72</v>
      </c>
      <c r="B54" s="126" t="s">
        <v>73</v>
      </c>
      <c r="C54" s="126"/>
      <c r="D54" s="126"/>
      <c r="E54" s="126"/>
      <c r="F54" s="9"/>
      <c r="G54" s="126" t="s">
        <v>3</v>
      </c>
      <c r="H54" s="133" t="str">
        <f t="shared" si="0"/>
        <v/>
      </c>
      <c r="I54" s="126" t="s">
        <v>4</v>
      </c>
      <c r="K54" s="129" t="str">
        <f t="shared" si="1"/>
        <v>Bitte ausfüllen!</v>
      </c>
    </row>
    <row r="55" spans="1:11" x14ac:dyDescent="0.2">
      <c r="A55" s="126" t="s">
        <v>74</v>
      </c>
      <c r="B55" s="126" t="s">
        <v>75</v>
      </c>
      <c r="C55" s="126"/>
      <c r="D55" s="126"/>
      <c r="E55" s="126"/>
      <c r="F55" s="9"/>
      <c r="G55" s="126" t="s">
        <v>3</v>
      </c>
      <c r="H55" s="133" t="str">
        <f t="shared" si="0"/>
        <v/>
      </c>
      <c r="I55" s="126" t="s">
        <v>4</v>
      </c>
      <c r="K55" s="129" t="str">
        <f t="shared" si="1"/>
        <v>Bitte ausfüllen!</v>
      </c>
    </row>
    <row r="56" spans="1:11" x14ac:dyDescent="0.2">
      <c r="A56" s="126" t="s">
        <v>76</v>
      </c>
      <c r="B56" s="126" t="s">
        <v>77</v>
      </c>
      <c r="C56" s="126"/>
      <c r="D56" s="126"/>
      <c r="E56" s="126"/>
      <c r="F56" s="9"/>
      <c r="G56" s="126" t="s">
        <v>3</v>
      </c>
      <c r="H56" s="133" t="str">
        <f t="shared" si="0"/>
        <v/>
      </c>
      <c r="I56" s="126" t="s">
        <v>4</v>
      </c>
      <c r="K56" s="129" t="str">
        <f t="shared" si="1"/>
        <v>Bitte ausfüllen!</v>
      </c>
    </row>
    <row r="57" spans="1:11" ht="23.45" customHeight="1" x14ac:dyDescent="0.2">
      <c r="A57" s="127"/>
      <c r="B57" s="212" t="s">
        <v>78</v>
      </c>
      <c r="C57" s="212"/>
      <c r="D57" s="127"/>
      <c r="E57" s="127"/>
      <c r="F57" s="134">
        <f>IF(SUM(F45:F56)=0,0,SUM(F45:F56))</f>
        <v>0</v>
      </c>
      <c r="G57" s="127" t="s">
        <v>3</v>
      </c>
      <c r="H57" s="135" t="str">
        <f>IF(COUNTIF(H46:H56,"")&gt;1,"",SUM(H46:H56))</f>
        <v/>
      </c>
      <c r="I57" s="127" t="s">
        <v>4</v>
      </c>
      <c r="K57" s="129" t="str">
        <f>IF(H57="","Angaben offen!","")</f>
        <v>Angaben offen!</v>
      </c>
    </row>
    <row r="58" spans="1:11" ht="6.6" customHeight="1" x14ac:dyDescent="0.2">
      <c r="A58" s="126"/>
      <c r="B58" s="126"/>
      <c r="C58" s="126"/>
      <c r="D58" s="126"/>
      <c r="E58" s="126"/>
      <c r="F58" s="130"/>
      <c r="G58" s="126"/>
      <c r="H58" s="130"/>
      <c r="I58" s="126"/>
    </row>
    <row r="59" spans="1:11" x14ac:dyDescent="0.2">
      <c r="A59" s="127" t="s">
        <v>79</v>
      </c>
      <c r="B59" s="211" t="s">
        <v>80</v>
      </c>
      <c r="C59" s="211"/>
      <c r="D59" s="127"/>
      <c r="E59" s="127"/>
      <c r="F59" s="139">
        <f>IF(AND(F34=""),0,F34+F42+F57+F5)</f>
        <v>100</v>
      </c>
      <c r="G59" s="127" t="s">
        <v>3</v>
      </c>
      <c r="H59" s="131" t="str">
        <f>IF(H57="","",H34+H42+H57+H5)</f>
        <v/>
      </c>
      <c r="I59" s="127" t="s">
        <v>4</v>
      </c>
    </row>
    <row r="60" spans="1:11" x14ac:dyDescent="0.2">
      <c r="A60" s="127" t="s">
        <v>81</v>
      </c>
      <c r="B60" s="127" t="s">
        <v>82</v>
      </c>
      <c r="C60" s="127"/>
      <c r="D60" s="127"/>
      <c r="E60" s="127"/>
      <c r="F60" s="9"/>
      <c r="G60" s="127" t="s">
        <v>3</v>
      </c>
      <c r="H60" s="135" t="str">
        <f>IF(F60="","",ROUND(F60/100*H59,2))</f>
        <v/>
      </c>
      <c r="I60" s="127" t="s">
        <v>4</v>
      </c>
      <c r="K60" s="129" t="str">
        <f>IF(F60="","Bitte ausfüllen!","")</f>
        <v>Bitte ausfüllen!</v>
      </c>
    </row>
    <row r="61" spans="1:11" x14ac:dyDescent="0.2">
      <c r="A61" s="127"/>
      <c r="B61" s="127" t="s">
        <v>83</v>
      </c>
      <c r="C61" s="127"/>
      <c r="D61" s="127"/>
      <c r="E61" s="127"/>
      <c r="F61" s="134">
        <f ca="1">IF(H61="",0,H61/H5*100)</f>
        <v>0</v>
      </c>
      <c r="G61" s="127" t="s">
        <v>3</v>
      </c>
      <c r="H61" s="135" t="str">
        <f ca="1">IF(SUM(COUNTIF(INDIRECT({"H5","F9:F13","D17:D26","F27:F28","F32:F33","F38:F41","F46:F48","F50:F56","F60","H65:H68"}),""))&gt;0,"",H59+H60)</f>
        <v/>
      </c>
      <c r="I61" s="127" t="s">
        <v>4</v>
      </c>
      <c r="K61" s="129" t="str">
        <f ca="1">IF(SUM(COUNTIF(INDIRECT({"H5","F9:F13","D17:D26","F27:F28","F32:F33","F38:F41","F46:F48","F50:F56","F60","H65:H68"}),""))&gt;0,SUM(COUNTIF(INDIRECT({"H5","F9:F13","D17:D26","F27:F28","F32:F33","F38:F41","F46:F48","F50:F56","F60","H65:H68"}),"")) &amp;" Zelle(n) ohne Wert!","")</f>
        <v>28 Zelle(n) ohne Wert!</v>
      </c>
    </row>
    <row r="62" spans="1:11" x14ac:dyDescent="0.2">
      <c r="A62" s="126"/>
      <c r="B62" s="126" t="s">
        <v>84</v>
      </c>
      <c r="C62" s="126"/>
      <c r="D62" s="126"/>
      <c r="E62" s="126"/>
      <c r="F62" s="134">
        <f ca="1">IF(F61=0,0,F61-F5)</f>
        <v>0</v>
      </c>
      <c r="G62" s="126" t="s">
        <v>3</v>
      </c>
      <c r="H62" s="126"/>
      <c r="I62" s="126"/>
      <c r="K62" s="129" t="str">
        <f ca="1">IF(F62&lt;70,"Bitte prüfen gemäß Aufforderung!","")</f>
        <v>Bitte prüfen gemäß Aufforderung!</v>
      </c>
    </row>
    <row r="63" spans="1:11" ht="5.45" customHeight="1" x14ac:dyDescent="0.2">
      <c r="A63" s="126"/>
      <c r="B63" s="127"/>
      <c r="C63" s="126"/>
      <c r="D63" s="126"/>
      <c r="E63" s="126"/>
      <c r="F63" s="139"/>
      <c r="G63" s="126"/>
      <c r="H63" s="131"/>
    </row>
    <row r="64" spans="1:11" x14ac:dyDescent="0.2">
      <c r="B64" s="127" t="s">
        <v>85</v>
      </c>
      <c r="D64" s="127"/>
      <c r="E64" s="127"/>
      <c r="G64" s="127"/>
      <c r="H64" s="131" t="s">
        <v>86</v>
      </c>
      <c r="I64" s="127"/>
    </row>
    <row r="65" spans="1:15" x14ac:dyDescent="0.2">
      <c r="B65" s="126" t="s">
        <v>87</v>
      </c>
      <c r="D65" s="126"/>
      <c r="E65" s="126"/>
      <c r="G65" s="140"/>
      <c r="H65" s="10"/>
      <c r="I65" s="140"/>
      <c r="K65" s="129" t="str">
        <f>IF(H65="","Bitte ausfüllen!","")</f>
        <v>Bitte ausfüllen!</v>
      </c>
    </row>
    <row r="66" spans="1:15" x14ac:dyDescent="0.2">
      <c r="B66" s="126" t="s">
        <v>88</v>
      </c>
      <c r="D66" s="126"/>
      <c r="E66" s="126"/>
      <c r="G66" s="140"/>
      <c r="H66" s="11"/>
      <c r="I66" s="140"/>
      <c r="K66" s="129" t="str">
        <f>IF(H66="","Bitte ausfüllen!","")</f>
        <v>Bitte ausfüllen!</v>
      </c>
    </row>
    <row r="67" spans="1:15" x14ac:dyDescent="0.2">
      <c r="B67" s="126" t="s">
        <v>89</v>
      </c>
      <c r="D67" s="126"/>
      <c r="E67" s="126"/>
      <c r="G67" s="140"/>
      <c r="H67" s="12"/>
      <c r="I67" s="140"/>
      <c r="K67" s="129" t="str">
        <f>IF(H67="","Bitte ausfüllen!","")</f>
        <v>Bitte ausfüllen!</v>
      </c>
    </row>
    <row r="68" spans="1:15" x14ac:dyDescent="0.2">
      <c r="B68" s="126" t="s">
        <v>90</v>
      </c>
      <c r="D68" s="126"/>
      <c r="E68" s="126"/>
      <c r="G68" s="140"/>
      <c r="H68" s="11"/>
      <c r="I68" s="140"/>
      <c r="K68" s="129" t="str">
        <f>IF(H68="","Bitte ausfüllen!","")</f>
        <v>Bitte ausfüllen!</v>
      </c>
    </row>
    <row r="69" spans="1:15" ht="5.45" customHeight="1" x14ac:dyDescent="0.2"/>
    <row r="70" spans="1:15" ht="5.45" customHeight="1" x14ac:dyDescent="0.2">
      <c r="C70" s="90"/>
      <c r="D70" s="4"/>
    </row>
    <row r="71" spans="1:15" ht="15.95" customHeight="1" x14ac:dyDescent="0.2">
      <c r="A71" s="202" t="s">
        <v>231</v>
      </c>
      <c r="B71" s="202"/>
      <c r="C71" s="202"/>
      <c r="D71" s="202" t="s">
        <v>242</v>
      </c>
      <c r="F71" s="204" t="s">
        <v>139</v>
      </c>
      <c r="G71" s="205"/>
      <c r="H71" s="206"/>
      <c r="L71" s="36"/>
      <c r="M71" s="36"/>
      <c r="N71" s="36"/>
      <c r="O71" s="36"/>
    </row>
    <row r="72" spans="1:15" ht="15.95" customHeight="1" x14ac:dyDescent="0.2">
      <c r="A72" s="203"/>
      <c r="B72" s="203"/>
      <c r="C72" s="203"/>
      <c r="D72" s="203"/>
      <c r="F72" s="207"/>
      <c r="G72" s="208"/>
      <c r="H72" s="209"/>
      <c r="I72" s="127"/>
      <c r="J72" s="127"/>
      <c r="K72" s="127"/>
      <c r="L72" s="36"/>
      <c r="M72" s="36"/>
      <c r="N72" s="36"/>
      <c r="O72" s="36"/>
    </row>
    <row r="73" spans="1:15" ht="19.899999999999999" customHeight="1" x14ac:dyDescent="0.2">
      <c r="A73" s="213">
        <v>1</v>
      </c>
      <c r="B73" s="213"/>
      <c r="C73" s="14" t="s">
        <v>134</v>
      </c>
      <c r="D73" s="92">
        <v>7.3</v>
      </c>
      <c r="F73" s="214" t="s">
        <v>647</v>
      </c>
      <c r="G73" s="214"/>
      <c r="H73" s="214"/>
    </row>
    <row r="74" spans="1:15" ht="19.899999999999999" customHeight="1" x14ac:dyDescent="0.2">
      <c r="A74" s="213">
        <v>2</v>
      </c>
      <c r="B74" s="213"/>
      <c r="C74" s="14" t="s">
        <v>135</v>
      </c>
      <c r="D74" s="92">
        <v>9.3000000000000007</v>
      </c>
    </row>
    <row r="75" spans="1:15" ht="25.5" customHeight="1" x14ac:dyDescent="0.2">
      <c r="A75" s="213">
        <v>3</v>
      </c>
      <c r="B75" s="213"/>
      <c r="C75" s="14" t="s">
        <v>136</v>
      </c>
      <c r="D75" s="92">
        <v>1.3</v>
      </c>
    </row>
    <row r="76" spans="1:15" ht="25.5" customHeight="1" x14ac:dyDescent="0.2">
      <c r="A76" s="213">
        <v>4</v>
      </c>
      <c r="B76" s="213"/>
      <c r="C76" s="14" t="s">
        <v>137</v>
      </c>
      <c r="D76" s="92">
        <f>IF( F73="Sachsen",1.3,1.8)</f>
        <v>1.8</v>
      </c>
    </row>
    <row r="77" spans="1:15" ht="25.5" customHeight="1" x14ac:dyDescent="0.2">
      <c r="A77" s="213">
        <v>5</v>
      </c>
      <c r="B77" s="213"/>
      <c r="C77" s="14" t="s">
        <v>159</v>
      </c>
      <c r="D77" s="92"/>
    </row>
    <row r="78" spans="1:15" ht="25.5" customHeight="1" x14ac:dyDescent="0.2">
      <c r="A78" s="213">
        <v>6</v>
      </c>
      <c r="B78" s="213"/>
      <c r="C78" s="14" t="s">
        <v>124</v>
      </c>
      <c r="D78" s="92"/>
    </row>
    <row r="79" spans="1:15" ht="25.5" customHeight="1" x14ac:dyDescent="0.2">
      <c r="A79" s="213">
        <v>7</v>
      </c>
      <c r="B79" s="213"/>
      <c r="C79" s="14" t="s">
        <v>138</v>
      </c>
      <c r="D79" s="92">
        <v>0.15</v>
      </c>
    </row>
  </sheetData>
  <sheetProtection algorithmName="SHA-512" hashValue="DTH67ubMmDZbRnG0kruzKLupqB3FNDU4jDOOzsyMki0UsKlbIqMLf2TV7MV5kznRkQhBiFpDS+nla1RFrr1XQQ==" saltValue="1blX1yXlHIXIgO5ToVWRYA==" spinCount="100000" sheet="1" objects="1" scenarios="1"/>
  <mergeCells count="18">
    <mergeCell ref="A78:B78"/>
    <mergeCell ref="A79:B79"/>
    <mergeCell ref="F73:H73"/>
    <mergeCell ref="A73:B73"/>
    <mergeCell ref="A74:B74"/>
    <mergeCell ref="A75:B75"/>
    <mergeCell ref="A76:B76"/>
    <mergeCell ref="A77:B77"/>
    <mergeCell ref="A71:C72"/>
    <mergeCell ref="D71:D72"/>
    <mergeCell ref="F71:H72"/>
    <mergeCell ref="E1:I2"/>
    <mergeCell ref="A3:I3"/>
    <mergeCell ref="B59:C59"/>
    <mergeCell ref="B29:C29"/>
    <mergeCell ref="B34:C34"/>
    <mergeCell ref="B42:C42"/>
    <mergeCell ref="B57:C57"/>
  </mergeCells>
  <phoneticPr fontId="4" type="noConversion"/>
  <dataValidations count="1">
    <dataValidation type="decimal" errorStyle="warning" allowBlank="1" showInputMessage="1" showErrorMessage="1" error="Bitte überprüfen Sie Ihre Eingaben." sqref="C25" xr:uid="{00000000-0002-0000-0300-000000000000}">
      <formula1>8.5</formula1>
      <formula2>84</formula2>
    </dataValidation>
  </dataValidations>
  <hyperlinks>
    <hyperlink ref="K1" location="Inhaltsverzeichnis!A1" display="Zurück zum Inhaltsverzeichnis" xr:uid="{00000000-0004-0000-0300-000000000000}"/>
  </hyperlinks>
  <printOptions horizontalCentered="1"/>
  <pageMargins left="0.78740157480314965" right="0.78740157480314965" top="0.98425196850393704" bottom="0.98425196850393704" header="0.51181102362204722" footer="0.51181102362204722"/>
  <pageSetup paperSize="9" scale="72" orientation="portrait" r:id="rId1"/>
  <headerFooter alignWithMargins="0">
    <oddFooter>&amp;C&amp;P von &amp;N</oddFooter>
  </headerFooter>
  <ignoredErrors>
    <ignoredError sqref="A11:A13"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26626" r:id="rId4" name="Check Box 2">
              <controlPr defaultSize="0" autoFill="0" autoLine="0" autoPict="0" altText="Hinweis">
                <anchor moveWithCells="1">
                  <from>
                    <xdr:col>2</xdr:col>
                    <xdr:colOff>2914650</xdr:colOff>
                    <xdr:row>0</xdr:row>
                    <xdr:rowOff>123825</xdr:rowOff>
                  </from>
                  <to>
                    <xdr:col>3</xdr:col>
                    <xdr:colOff>552450</xdr:colOff>
                    <xdr:row>0</xdr:row>
                    <xdr:rowOff>409575</xdr:rowOff>
                  </to>
                </anchor>
              </controlPr>
            </control>
          </mc:Choice>
        </mc:AlternateContent>
        <mc:AlternateContent xmlns:mc="http://schemas.openxmlformats.org/markup-compatibility/2006">
          <mc:Choice Requires="x14">
            <control shapeId="26628" r:id="rId5" name="Check Box 4">
              <controlPr defaultSize="0" autoFill="0" autoLine="0" autoPict="0" altText="Hinweis">
                <anchor moveWithCells="1">
                  <from>
                    <xdr:col>2</xdr:col>
                    <xdr:colOff>2914650</xdr:colOff>
                    <xdr:row>0</xdr:row>
                    <xdr:rowOff>428625</xdr:rowOff>
                  </from>
                  <to>
                    <xdr:col>3</xdr:col>
                    <xdr:colOff>552450</xdr:colOff>
                    <xdr:row>1</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indexed="13"/>
    <pageSetUpPr fitToPage="1"/>
  </sheetPr>
  <dimension ref="A1:N79"/>
  <sheetViews>
    <sheetView showGridLines="0" zoomScaleNormal="100" zoomScaleSheetLayoutView="85" workbookViewId="0"/>
  </sheetViews>
  <sheetFormatPr baseColWidth="10" defaultColWidth="11.42578125" defaultRowHeight="10.5" x14ac:dyDescent="0.2"/>
  <cols>
    <col min="1" max="1" width="6.42578125" style="3" customWidth="1"/>
    <col min="2" max="2" width="2.7109375" style="3" customWidth="1"/>
    <col min="3" max="3" width="45.5703125" style="3" customWidth="1"/>
    <col min="4" max="4" width="9" style="3" customWidth="1"/>
    <col min="5" max="5" width="2.5703125" style="3" customWidth="1"/>
    <col min="6" max="6" width="11.42578125" style="3"/>
    <col min="7" max="7" width="2.85546875" style="3" customWidth="1"/>
    <col min="8" max="8" width="11.42578125" style="3"/>
    <col min="9" max="9" width="2.7109375" style="3" bestFit="1" customWidth="1"/>
    <col min="10" max="10" width="1.28515625" style="3" customWidth="1"/>
    <col min="11" max="11" width="18.28515625" style="3" bestFit="1" customWidth="1"/>
    <col min="12" max="16384" width="11.42578125" style="3"/>
  </cols>
  <sheetData>
    <row r="1" spans="1:11" ht="34.15" customHeight="1" x14ac:dyDescent="0.2">
      <c r="A1" s="125" t="str">
        <f ca="1">IF(H61&lt;&gt;"","","Bitte alle gelben Zellen ausfüllen.")</f>
        <v>Bitte alle gelben Zellen ausfüllen.</v>
      </c>
      <c r="D1" s="23" t="b">
        <v>0</v>
      </c>
      <c r="E1" s="192" t="str">
        <f>IF(D1=TRUE,"Alle gelben Zellen ausfüllen. Nichtbenötigte Positionen eindeutig mit 0 kennzeichnen.",IF(D2=TRUE,
"Die rot markierten Informationen sind nur zur Unterstützung. Sie zeigen an, wenn gelbe Zellen in dieser Tabelle nicht ausgefüllt sind. "&amp;
"Wenn keine rote Schrift mehr angezeigt wird, ist alles ausgefüllt.",""))</f>
        <v/>
      </c>
      <c r="F1" s="192"/>
      <c r="G1" s="192"/>
      <c r="H1" s="192"/>
      <c r="I1" s="192"/>
      <c r="K1" s="5" t="s">
        <v>100</v>
      </c>
    </row>
    <row r="2" spans="1:11" ht="34.5" customHeight="1" x14ac:dyDescent="0.2">
      <c r="A2" s="3" t="s">
        <v>105</v>
      </c>
      <c r="C2" s="4" t="str">
        <f>IF(Inhaltsverzeichnis!$C$3="", "",Inhaltsverzeichnis!$C$3)</f>
        <v/>
      </c>
      <c r="D2" s="23" t="b">
        <v>0</v>
      </c>
      <c r="E2" s="192"/>
      <c r="F2" s="192"/>
      <c r="G2" s="192"/>
      <c r="H2" s="192"/>
      <c r="I2" s="192"/>
    </row>
    <row r="3" spans="1:11" s="2" customFormat="1" ht="12.75" x14ac:dyDescent="0.2">
      <c r="A3" s="210" t="s">
        <v>103</v>
      </c>
      <c r="B3" s="210"/>
      <c r="C3" s="210"/>
      <c r="D3" s="210"/>
      <c r="E3" s="210"/>
      <c r="F3" s="210"/>
      <c r="G3" s="210"/>
      <c r="H3" s="210"/>
      <c r="I3" s="210"/>
    </row>
    <row r="4" spans="1:11" x14ac:dyDescent="0.2">
      <c r="A4" s="126"/>
      <c r="B4" s="126"/>
      <c r="C4" s="126"/>
      <c r="D4" s="126"/>
      <c r="E4" s="126"/>
      <c r="F4" s="126"/>
      <c r="G4" s="126"/>
      <c r="H4" s="126"/>
      <c r="I4" s="126"/>
    </row>
    <row r="5" spans="1:11" x14ac:dyDescent="0.2">
      <c r="A5" s="127" t="s">
        <v>1</v>
      </c>
      <c r="B5" s="127" t="s">
        <v>2</v>
      </c>
      <c r="C5" s="127"/>
      <c r="D5" s="127"/>
      <c r="E5" s="127"/>
      <c r="F5" s="128">
        <v>100</v>
      </c>
      <c r="G5" s="127" t="s">
        <v>3</v>
      </c>
      <c r="H5" s="8">
        <v>15.67</v>
      </c>
      <c r="I5" s="127" t="s">
        <v>4</v>
      </c>
      <c r="K5" s="129" t="str">
        <f ca="1">IF(H5="","Bitte ausfüllen!",IF(H61="","Der voreingetragene produktive Stundenlohn ist eine Mindestanforderung. Inhalt der gelben Zellen kann angepasst werden.",""))</f>
        <v>Der voreingetragene produktive Stundenlohn ist eine Mindestanforderung. Inhalt der gelben Zellen kann angepasst werden.</v>
      </c>
    </row>
    <row r="6" spans="1:11" x14ac:dyDescent="0.2">
      <c r="A6" s="126"/>
      <c r="B6" s="126"/>
      <c r="C6" s="126"/>
      <c r="D6" s="126"/>
      <c r="E6" s="126"/>
      <c r="F6" s="130"/>
      <c r="G6" s="126"/>
      <c r="H6" s="130"/>
      <c r="I6" s="126"/>
    </row>
    <row r="7" spans="1:11" x14ac:dyDescent="0.2">
      <c r="A7" s="127" t="s">
        <v>5</v>
      </c>
      <c r="B7" s="127" t="s">
        <v>6</v>
      </c>
      <c r="C7" s="127"/>
      <c r="D7" s="127"/>
      <c r="E7" s="127"/>
      <c r="F7" s="131"/>
      <c r="G7" s="127"/>
      <c r="H7" s="131"/>
      <c r="I7" s="127"/>
    </row>
    <row r="8" spans="1:11" ht="14.25" x14ac:dyDescent="0.2">
      <c r="A8" s="126" t="s">
        <v>7</v>
      </c>
      <c r="B8" s="126" t="s">
        <v>8</v>
      </c>
      <c r="C8" s="126"/>
      <c r="D8" s="126"/>
      <c r="E8" s="126"/>
      <c r="F8" s="131"/>
      <c r="G8" s="131"/>
      <c r="H8" s="131"/>
      <c r="I8" s="131"/>
      <c r="K8" s="132"/>
    </row>
    <row r="9" spans="1:11" x14ac:dyDescent="0.2">
      <c r="A9" s="126" t="s">
        <v>9</v>
      </c>
      <c r="B9" s="126"/>
      <c r="C9" s="126" t="s">
        <v>10</v>
      </c>
      <c r="D9" s="126"/>
      <c r="E9" s="126"/>
      <c r="F9" s="9"/>
      <c r="G9" s="126" t="s">
        <v>3</v>
      </c>
      <c r="H9" s="133" t="str">
        <f>IF(F9="","",ROUND(F9/100*$H$5,2))</f>
        <v/>
      </c>
      <c r="I9" s="126" t="s">
        <v>4</v>
      </c>
      <c r="K9" s="129" t="str">
        <f>IF(F9="","Bitte ausfüllen!","")</f>
        <v>Bitte ausfüllen!</v>
      </c>
    </row>
    <row r="10" spans="1:11" x14ac:dyDescent="0.2">
      <c r="A10" s="126" t="s">
        <v>11</v>
      </c>
      <c r="B10" s="126"/>
      <c r="C10" s="126" t="s">
        <v>12</v>
      </c>
      <c r="D10" s="126"/>
      <c r="E10" s="126"/>
      <c r="F10" s="9"/>
      <c r="G10" s="126" t="s">
        <v>3</v>
      </c>
      <c r="H10" s="133" t="str">
        <f>IF(F10="","",ROUND(F10/100*$H$5,2))</f>
        <v/>
      </c>
      <c r="I10" s="126" t="s">
        <v>4</v>
      </c>
      <c r="K10" s="129" t="str">
        <f>IF(F10="","Bitte ausfüllen!","")</f>
        <v>Bitte ausfüllen!</v>
      </c>
    </row>
    <row r="11" spans="1:11" x14ac:dyDescent="0.2">
      <c r="A11" s="126" t="s">
        <v>13</v>
      </c>
      <c r="B11" s="126"/>
      <c r="C11" s="126" t="s">
        <v>14</v>
      </c>
      <c r="D11" s="126"/>
      <c r="E11" s="126"/>
      <c r="F11" s="9"/>
      <c r="G11" s="126" t="s">
        <v>3</v>
      </c>
      <c r="H11" s="133" t="str">
        <f>IF(F11="","",ROUND(F11/100*$H$5,2))</f>
        <v/>
      </c>
      <c r="I11" s="126" t="s">
        <v>4</v>
      </c>
      <c r="K11" s="129" t="str">
        <f>IF(F11="","Bitte ausfüllen!","")</f>
        <v>Bitte ausfüllen!</v>
      </c>
    </row>
    <row r="12" spans="1:11" x14ac:dyDescent="0.2">
      <c r="A12" s="126" t="s">
        <v>15</v>
      </c>
      <c r="B12" s="126"/>
      <c r="C12" s="126" t="s">
        <v>16</v>
      </c>
      <c r="D12" s="126"/>
      <c r="E12" s="126"/>
      <c r="F12" s="9"/>
      <c r="G12" s="126" t="s">
        <v>3</v>
      </c>
      <c r="H12" s="133" t="str">
        <f>IF(F12="","",ROUND(F12/100*$H$5,2))</f>
        <v/>
      </c>
      <c r="I12" s="126" t="s">
        <v>4</v>
      </c>
      <c r="K12" s="129" t="str">
        <f>IF(F12="","Bitte ausfüllen!","")</f>
        <v>Bitte ausfüllen!</v>
      </c>
    </row>
    <row r="13" spans="1:11" x14ac:dyDescent="0.2">
      <c r="A13" s="126" t="s">
        <v>17</v>
      </c>
      <c r="B13" s="126"/>
      <c r="C13" s="126" t="s">
        <v>18</v>
      </c>
      <c r="D13" s="126"/>
      <c r="E13" s="126"/>
      <c r="F13" s="9"/>
      <c r="G13" s="126" t="s">
        <v>3</v>
      </c>
      <c r="H13" s="133" t="str">
        <f>IF(F13="","",ROUND(F13/100*$H$5,2))</f>
        <v/>
      </c>
      <c r="I13" s="126" t="s">
        <v>4</v>
      </c>
      <c r="K13" s="129" t="str">
        <f>IF(F13="","Bitte ausfüllen!","")</f>
        <v>Bitte ausfüllen!</v>
      </c>
    </row>
    <row r="14" spans="1:11" x14ac:dyDescent="0.2">
      <c r="A14" s="127"/>
      <c r="B14" s="127" t="s">
        <v>19</v>
      </c>
      <c r="C14" s="127"/>
      <c r="D14" s="127"/>
      <c r="E14" s="127"/>
      <c r="F14" s="134">
        <f>IF(SUM(F9:F13)=0,0,SUM(F9:F13))</f>
        <v>0</v>
      </c>
      <c r="G14" s="127" t="s">
        <v>3</v>
      </c>
      <c r="H14" s="135" t="str">
        <f>IF(COUNTIF(F9:F13,"")&gt;0,"",SUM(H8:H13))</f>
        <v/>
      </c>
      <c r="I14" s="127" t="s">
        <v>4</v>
      </c>
      <c r="K14" s="129" t="str">
        <f>IF(H14="","Angaben offen!","")</f>
        <v>Angaben offen!</v>
      </c>
    </row>
    <row r="15" spans="1:11" x14ac:dyDescent="0.2">
      <c r="A15" s="126"/>
      <c r="B15" s="126"/>
      <c r="C15" s="126"/>
      <c r="D15" s="126"/>
      <c r="E15" s="126"/>
      <c r="F15" s="130"/>
      <c r="G15" s="126"/>
      <c r="H15" s="130"/>
      <c r="I15" s="126"/>
    </row>
    <row r="16" spans="1:11" x14ac:dyDescent="0.2">
      <c r="A16" s="127" t="s">
        <v>20</v>
      </c>
      <c r="B16" s="127" t="s">
        <v>21</v>
      </c>
      <c r="C16" s="127"/>
      <c r="D16" s="127"/>
      <c r="E16" s="127"/>
      <c r="F16" s="131"/>
      <c r="G16" s="127"/>
      <c r="H16" s="131"/>
      <c r="I16" s="127"/>
    </row>
    <row r="17" spans="1:14" ht="11.25" x14ac:dyDescent="0.2">
      <c r="A17" s="126" t="s">
        <v>22</v>
      </c>
      <c r="B17" s="126" t="s">
        <v>127</v>
      </c>
      <c r="C17" s="126"/>
      <c r="D17" s="9">
        <f>D73</f>
        <v>7.3</v>
      </c>
      <c r="E17" s="126" t="s">
        <v>3</v>
      </c>
      <c r="F17" s="130"/>
      <c r="G17" s="126"/>
      <c r="H17" s="130"/>
      <c r="I17" s="126"/>
      <c r="K17" s="129" t="str">
        <f ca="1">IF(D17&lt;D73,"Wert prüfen!",IF(H61="","Inhalt der gelben Zellen kann angepasst werden.",""))</f>
        <v>Inhalt der gelben Zellen kann angepasst werden.</v>
      </c>
    </row>
    <row r="18" spans="1:14" x14ac:dyDescent="0.2">
      <c r="A18" s="126"/>
      <c r="B18" s="126" t="s">
        <v>23</v>
      </c>
      <c r="C18" s="126"/>
      <c r="D18" s="136">
        <f>(D17/100)*$F$14</f>
        <v>0</v>
      </c>
      <c r="E18" s="126" t="s">
        <v>3</v>
      </c>
      <c r="F18" s="137">
        <f>IF(D18="","",D17+D18)</f>
        <v>7.3</v>
      </c>
      <c r="G18" s="126" t="s">
        <v>3</v>
      </c>
      <c r="H18" s="133">
        <f>IF(D18="","",ROUND(F18/100*$H$5,2))</f>
        <v>1.1399999999999999</v>
      </c>
      <c r="I18" s="126" t="s">
        <v>4</v>
      </c>
      <c r="K18" s="129"/>
    </row>
    <row r="19" spans="1:14" ht="11.25" x14ac:dyDescent="0.2">
      <c r="A19" s="126" t="s">
        <v>24</v>
      </c>
      <c r="B19" s="126" t="s">
        <v>128</v>
      </c>
      <c r="C19" s="126"/>
      <c r="D19" s="9">
        <f>D74</f>
        <v>9.3000000000000007</v>
      </c>
      <c r="E19" s="126" t="s">
        <v>3</v>
      </c>
      <c r="F19" s="138"/>
      <c r="G19" s="126"/>
      <c r="H19" s="130"/>
      <c r="I19" s="126"/>
      <c r="K19" s="129" t="str">
        <f ca="1">IF(D19&lt;&gt;D74,"Wert prüfen!",IF(H61="","Inhalt der gelben Zellen kann angepasst werden.",""))</f>
        <v>Inhalt der gelben Zellen kann angepasst werden.</v>
      </c>
    </row>
    <row r="20" spans="1:14" x14ac:dyDescent="0.2">
      <c r="A20" s="126"/>
      <c r="B20" s="126" t="s">
        <v>25</v>
      </c>
      <c r="C20" s="126"/>
      <c r="D20" s="136">
        <f>(D19/100)*$F$14</f>
        <v>0</v>
      </c>
      <c r="E20" s="126" t="s">
        <v>3</v>
      </c>
      <c r="F20" s="137">
        <f>IF(D20="","",D19+D20)</f>
        <v>9.3000000000000007</v>
      </c>
      <c r="G20" s="126" t="s">
        <v>3</v>
      </c>
      <c r="H20" s="133">
        <f>IF(D20="","",ROUND(F20/100*$H$5,2))</f>
        <v>1.46</v>
      </c>
      <c r="I20" s="126" t="s">
        <v>4</v>
      </c>
      <c r="K20" s="129"/>
    </row>
    <row r="21" spans="1:14" ht="11.25" x14ac:dyDescent="0.2">
      <c r="A21" s="126" t="s">
        <v>26</v>
      </c>
      <c r="B21" s="126" t="s">
        <v>129</v>
      </c>
      <c r="C21" s="126"/>
      <c r="D21" s="9">
        <f>D75</f>
        <v>1.3</v>
      </c>
      <c r="E21" s="126" t="s">
        <v>3</v>
      </c>
      <c r="F21" s="138"/>
      <c r="G21" s="126"/>
      <c r="H21" s="130"/>
      <c r="I21" s="126"/>
      <c r="K21" s="129" t="str">
        <f ca="1">IF(D21&lt;&gt;D75,"Wert prüfen!",IF(H61="","Inhalt der gelben Zellen kann angepasst werden.",""))</f>
        <v>Inhalt der gelben Zellen kann angepasst werden.</v>
      </c>
    </row>
    <row r="22" spans="1:14" x14ac:dyDescent="0.2">
      <c r="A22" s="126"/>
      <c r="B22" s="126" t="s">
        <v>27</v>
      </c>
      <c r="C22" s="126"/>
      <c r="D22" s="136">
        <f>(D21/100)*$F$14</f>
        <v>0</v>
      </c>
      <c r="E22" s="126" t="s">
        <v>3</v>
      </c>
      <c r="F22" s="137">
        <f>IF(D22="","",D21+D22)</f>
        <v>1.3</v>
      </c>
      <c r="G22" s="126" t="s">
        <v>3</v>
      </c>
      <c r="H22" s="133">
        <f>IF(D22="","",ROUND(F22/100*$H$5,2))</f>
        <v>0.2</v>
      </c>
      <c r="I22" s="126" t="s">
        <v>4</v>
      </c>
      <c r="K22" s="129"/>
    </row>
    <row r="23" spans="1:14" ht="11.25" x14ac:dyDescent="0.2">
      <c r="A23" s="126" t="s">
        <v>28</v>
      </c>
      <c r="B23" s="126" t="s">
        <v>130</v>
      </c>
      <c r="C23" s="126"/>
      <c r="D23" s="9">
        <f>D76</f>
        <v>1.8</v>
      </c>
      <c r="E23" s="126" t="s">
        <v>3</v>
      </c>
      <c r="F23" s="138"/>
      <c r="G23" s="126"/>
      <c r="H23" s="130"/>
      <c r="I23" s="126"/>
      <c r="K23" s="129" t="str">
        <f ca="1">IF(D23&lt;&gt;D76,"Wert prüfen!",IF(H61="","Inhalt der gelben Zellen kann angepasst werden.",""))</f>
        <v>Inhalt der gelben Zellen kann angepasst werden.</v>
      </c>
      <c r="L23" s="22"/>
      <c r="M23" s="22"/>
      <c r="N23" s="22"/>
    </row>
    <row r="24" spans="1:14" x14ac:dyDescent="0.2">
      <c r="A24" s="126"/>
      <c r="B24" s="126" t="s">
        <v>29</v>
      </c>
      <c r="C24" s="126"/>
      <c r="D24" s="136">
        <f>(D23/100)*$F$14</f>
        <v>0</v>
      </c>
      <c r="E24" s="126" t="s">
        <v>3</v>
      </c>
      <c r="F24" s="137">
        <f>IF(D24="","",D23+D24)</f>
        <v>1.8</v>
      </c>
      <c r="G24" s="126" t="s">
        <v>3</v>
      </c>
      <c r="H24" s="133">
        <f>IF(D24="","",ROUND(F24/100*$H$5,2))</f>
        <v>0.28000000000000003</v>
      </c>
      <c r="I24" s="126" t="s">
        <v>4</v>
      </c>
      <c r="K24" s="129"/>
    </row>
    <row r="25" spans="1:14" ht="11.25" x14ac:dyDescent="0.2">
      <c r="A25" s="126" t="s">
        <v>30</v>
      </c>
      <c r="B25" s="126" t="s">
        <v>131</v>
      </c>
      <c r="C25" s="126"/>
      <c r="D25" s="9"/>
      <c r="E25" s="126" t="s">
        <v>3</v>
      </c>
      <c r="F25" s="138"/>
      <c r="G25" s="126"/>
      <c r="H25" s="130"/>
      <c r="I25" s="126"/>
      <c r="K25" s="129" t="str">
        <f>IF(D25="","Bitte ausfüllen!","")</f>
        <v>Bitte ausfüllen!</v>
      </c>
    </row>
    <row r="26" spans="1:14" x14ac:dyDescent="0.2">
      <c r="A26" s="126"/>
      <c r="B26" s="126" t="s">
        <v>31</v>
      </c>
      <c r="C26" s="126"/>
      <c r="D26" s="136">
        <f>(D25/100)*$F$14</f>
        <v>0</v>
      </c>
      <c r="E26" s="126" t="s">
        <v>3</v>
      </c>
      <c r="F26" s="137">
        <f>IF(D26="","",D25+D26)</f>
        <v>0</v>
      </c>
      <c r="G26" s="126" t="s">
        <v>3</v>
      </c>
      <c r="H26" s="133">
        <f>IF(D26="","",ROUND(F26/100*$H$5,2))</f>
        <v>0</v>
      </c>
      <c r="I26" s="126" t="s">
        <v>4</v>
      </c>
      <c r="K26" s="129"/>
    </row>
    <row r="27" spans="1:14" ht="11.25" x14ac:dyDescent="0.2">
      <c r="A27" s="126" t="s">
        <v>32</v>
      </c>
      <c r="B27" s="126" t="s">
        <v>132</v>
      </c>
      <c r="C27" s="126"/>
      <c r="D27" s="126"/>
      <c r="E27" s="126"/>
      <c r="F27" s="9"/>
      <c r="G27" s="126" t="s">
        <v>3</v>
      </c>
      <c r="H27" s="133" t="str">
        <f>IF(F27="","",ROUND(F27/100*$H$5,2))</f>
        <v/>
      </c>
      <c r="I27" s="126" t="s">
        <v>4</v>
      </c>
      <c r="K27" s="129" t="str">
        <f>IF(F27="","Bitte ausfüllen!","")</f>
        <v>Bitte ausfüllen!</v>
      </c>
    </row>
    <row r="28" spans="1:14" ht="11.25" x14ac:dyDescent="0.2">
      <c r="A28" s="126" t="s">
        <v>33</v>
      </c>
      <c r="B28" s="126" t="s">
        <v>133</v>
      </c>
      <c r="C28" s="126"/>
      <c r="D28" s="126"/>
      <c r="E28" s="126"/>
      <c r="F28" s="9">
        <f>D79</f>
        <v>0.15</v>
      </c>
      <c r="G28" s="126" t="s">
        <v>3</v>
      </c>
      <c r="H28" s="133">
        <f>IF(F28="","",ROUND(F28/100*$H$5,2))</f>
        <v>0.02</v>
      </c>
      <c r="I28" s="126" t="s">
        <v>4</v>
      </c>
      <c r="K28" s="129" t="str">
        <f ca="1">IF(F28&lt;&gt;D79,"Wert prüfen!",IF(H61="","Inhalt der gelben Zellen kann angepasst werden.",""))</f>
        <v>Inhalt der gelben Zellen kann angepasst werden.</v>
      </c>
    </row>
    <row r="29" spans="1:14" ht="25.5" customHeight="1" x14ac:dyDescent="0.2">
      <c r="A29" s="127"/>
      <c r="B29" s="212" t="s">
        <v>34</v>
      </c>
      <c r="C29" s="212"/>
      <c r="D29" s="127"/>
      <c r="E29" s="127"/>
      <c r="F29" s="134">
        <f>IF(SUM(F17:F28)=0,0,SUM(F17:F28)+F14)</f>
        <v>19.850000000000001</v>
      </c>
      <c r="G29" s="127" t="s">
        <v>3</v>
      </c>
      <c r="H29" s="135" t="str">
        <f>IF(OR(COUNTIF(D17:D26,"")&gt;0,COUNTIF(F27:F28,"")&gt;0),"",SUM(H17:H28)+H14)</f>
        <v/>
      </c>
      <c r="I29" s="127" t="s">
        <v>4</v>
      </c>
      <c r="K29" s="129" t="str">
        <f>IF(H29="","Angaben offen!","")</f>
        <v>Angaben offen!</v>
      </c>
    </row>
    <row r="30" spans="1:14" x14ac:dyDescent="0.2">
      <c r="A30" s="126"/>
      <c r="B30" s="126"/>
      <c r="C30" s="126"/>
      <c r="D30" s="126"/>
      <c r="E30" s="126"/>
      <c r="F30" s="130"/>
      <c r="G30" s="126"/>
      <c r="H30" s="130"/>
      <c r="I30" s="126"/>
    </row>
    <row r="31" spans="1:14" x14ac:dyDescent="0.2">
      <c r="A31" s="126"/>
      <c r="B31" s="127" t="s">
        <v>35</v>
      </c>
      <c r="C31" s="126"/>
      <c r="D31" s="126"/>
      <c r="E31" s="126"/>
      <c r="F31" s="130"/>
      <c r="G31" s="126"/>
      <c r="H31" s="130"/>
      <c r="I31" s="126"/>
    </row>
    <row r="32" spans="1:14" x14ac:dyDescent="0.2">
      <c r="A32" s="126" t="s">
        <v>36</v>
      </c>
      <c r="B32" s="126" t="s">
        <v>37</v>
      </c>
      <c r="C32" s="126"/>
      <c r="D32" s="126"/>
      <c r="E32" s="126"/>
      <c r="F32" s="9"/>
      <c r="G32" s="126" t="s">
        <v>3</v>
      </c>
      <c r="H32" s="133" t="str">
        <f>IF(F32="","",ROUND(F32/100*$H$5,2))</f>
        <v/>
      </c>
      <c r="I32" s="126" t="s">
        <v>4</v>
      </c>
      <c r="K32" s="129" t="str">
        <f>IF(F32="","Bitte ausfüllen!","")</f>
        <v>Bitte ausfüllen!</v>
      </c>
    </row>
    <row r="33" spans="1:11" x14ac:dyDescent="0.2">
      <c r="A33" s="126" t="s">
        <v>38</v>
      </c>
      <c r="B33" s="126" t="s">
        <v>39</v>
      </c>
      <c r="C33" s="126"/>
      <c r="D33" s="126"/>
      <c r="E33" s="126"/>
      <c r="F33" s="9"/>
      <c r="G33" s="126" t="s">
        <v>3</v>
      </c>
      <c r="H33" s="133" t="str">
        <f>IF(F33="","",ROUND(F33/100*$H$5,2))</f>
        <v/>
      </c>
      <c r="I33" s="126" t="s">
        <v>4</v>
      </c>
      <c r="K33" s="129" t="str">
        <f>IF(F33="","Bitte ausfüllen!","")</f>
        <v>Bitte ausfüllen!</v>
      </c>
    </row>
    <row r="34" spans="1:11" ht="25.5" customHeight="1" x14ac:dyDescent="0.2">
      <c r="A34" s="127"/>
      <c r="B34" s="212" t="s">
        <v>40</v>
      </c>
      <c r="C34" s="212"/>
      <c r="D34" s="127"/>
      <c r="E34" s="127"/>
      <c r="F34" s="134">
        <f>IF(SUM(F32:F33)=0,0,SUM(F32:F33)+F29)</f>
        <v>0</v>
      </c>
      <c r="G34" s="127" t="s">
        <v>3</v>
      </c>
      <c r="H34" s="135" t="str">
        <f>IF(COUNTIF(H32:H33,"")&gt;0,"",SUM(H32:H33)+H29)</f>
        <v/>
      </c>
      <c r="I34" s="127" t="s">
        <v>4</v>
      </c>
      <c r="K34" s="129" t="str">
        <f>IF(H34="","Angaben offen!","")</f>
        <v>Angaben offen!</v>
      </c>
    </row>
    <row r="35" spans="1:11" x14ac:dyDescent="0.2">
      <c r="A35" s="126"/>
      <c r="B35" s="126"/>
      <c r="C35" s="126"/>
      <c r="D35" s="126"/>
      <c r="E35" s="126"/>
      <c r="F35" s="130"/>
      <c r="G35" s="126"/>
      <c r="H35" s="130"/>
      <c r="I35" s="126"/>
    </row>
    <row r="36" spans="1:11" x14ac:dyDescent="0.2">
      <c r="A36" s="127" t="s">
        <v>41</v>
      </c>
      <c r="B36" s="127" t="s">
        <v>42</v>
      </c>
      <c r="C36" s="127"/>
      <c r="D36" s="127"/>
      <c r="E36" s="127"/>
      <c r="F36" s="131"/>
      <c r="G36" s="127"/>
      <c r="H36" s="131"/>
      <c r="I36" s="127"/>
    </row>
    <row r="37" spans="1:11" x14ac:dyDescent="0.2">
      <c r="A37" s="126" t="s">
        <v>43</v>
      </c>
      <c r="B37" s="126" t="s">
        <v>44</v>
      </c>
      <c r="C37" s="126"/>
      <c r="D37" s="126"/>
      <c r="E37" s="126"/>
      <c r="F37" s="130"/>
      <c r="G37" s="126"/>
      <c r="H37" s="130"/>
      <c r="I37" s="126"/>
    </row>
    <row r="38" spans="1:11" x14ac:dyDescent="0.2">
      <c r="A38" s="126"/>
      <c r="B38" s="126" t="s">
        <v>45</v>
      </c>
      <c r="C38" s="126"/>
      <c r="D38" s="126"/>
      <c r="E38" s="126"/>
      <c r="F38" s="9"/>
      <c r="G38" s="126" t="s">
        <v>3</v>
      </c>
      <c r="H38" s="133" t="str">
        <f>IF(F38="","",ROUND(F38/100*$H$5,2))</f>
        <v/>
      </c>
      <c r="I38" s="126" t="s">
        <v>4</v>
      </c>
      <c r="K38" s="129" t="str">
        <f>IF(F38="","Bitte ausfüllen!","")</f>
        <v>Bitte ausfüllen!</v>
      </c>
    </row>
    <row r="39" spans="1:11" x14ac:dyDescent="0.2">
      <c r="A39" s="126" t="s">
        <v>46</v>
      </c>
      <c r="B39" s="126" t="s">
        <v>47</v>
      </c>
      <c r="C39" s="126"/>
      <c r="D39" s="126"/>
      <c r="E39" s="126"/>
      <c r="F39" s="9"/>
      <c r="G39" s="126" t="s">
        <v>3</v>
      </c>
      <c r="H39" s="133" t="str">
        <f>IF(F39="","",ROUND(F39/100*$H$5,2))</f>
        <v/>
      </c>
      <c r="I39" s="126" t="s">
        <v>4</v>
      </c>
      <c r="K39" s="129" t="str">
        <f>IF(F39="","Bitte ausfüllen!","")</f>
        <v>Bitte ausfüllen!</v>
      </c>
    </row>
    <row r="40" spans="1:11" x14ac:dyDescent="0.2">
      <c r="A40" s="126" t="s">
        <v>48</v>
      </c>
      <c r="B40" s="126" t="s">
        <v>49</v>
      </c>
      <c r="C40" s="126"/>
      <c r="D40" s="126"/>
      <c r="E40" s="126"/>
      <c r="F40" s="9"/>
      <c r="G40" s="126" t="s">
        <v>3</v>
      </c>
      <c r="H40" s="133" t="str">
        <f>IF(F40="","",ROUND(F40/100*$H$5,2))</f>
        <v/>
      </c>
      <c r="I40" s="126" t="s">
        <v>4</v>
      </c>
      <c r="K40" s="129" t="str">
        <f>IF(F40="","Bitte ausfüllen!","")</f>
        <v>Bitte ausfüllen!</v>
      </c>
    </row>
    <row r="41" spans="1:11" x14ac:dyDescent="0.2">
      <c r="A41" s="126" t="s">
        <v>50</v>
      </c>
      <c r="B41" s="126" t="s">
        <v>51</v>
      </c>
      <c r="C41" s="126"/>
      <c r="D41" s="126"/>
      <c r="E41" s="126"/>
      <c r="F41" s="9"/>
      <c r="G41" s="126" t="s">
        <v>3</v>
      </c>
      <c r="H41" s="133" t="str">
        <f>IF(F41="","",ROUND(F41/100*$H$5,2))</f>
        <v/>
      </c>
      <c r="I41" s="126" t="s">
        <v>4</v>
      </c>
      <c r="K41" s="129" t="str">
        <f>IF(F41="","Bitte ausfüllen!","")</f>
        <v>Bitte ausfüllen!</v>
      </c>
    </row>
    <row r="42" spans="1:11" ht="25.5" customHeight="1" x14ac:dyDescent="0.2">
      <c r="A42" s="127"/>
      <c r="B42" s="212" t="s">
        <v>52</v>
      </c>
      <c r="C42" s="212"/>
      <c r="D42" s="127"/>
      <c r="E42" s="127"/>
      <c r="F42" s="134">
        <f>IF(SUM(F38:F41)=0,0,SUM(F38:F41))</f>
        <v>0</v>
      </c>
      <c r="G42" s="127" t="s">
        <v>3</v>
      </c>
      <c r="H42" s="135" t="str">
        <f>IF(COUNTIF(H38:H41,"")&gt;0,"",SUM(H38:H41))</f>
        <v/>
      </c>
      <c r="I42" s="127" t="s">
        <v>4</v>
      </c>
      <c r="K42" s="129" t="str">
        <f>IF(H42="","Angaben offen!","")</f>
        <v>Angaben offen!</v>
      </c>
    </row>
    <row r="43" spans="1:11" x14ac:dyDescent="0.2">
      <c r="A43" s="126"/>
      <c r="B43" s="126"/>
      <c r="C43" s="126"/>
      <c r="D43" s="126"/>
      <c r="E43" s="126"/>
      <c r="F43" s="130"/>
      <c r="G43" s="126"/>
      <c r="H43" s="130"/>
      <c r="I43" s="126"/>
    </row>
    <row r="44" spans="1:11" x14ac:dyDescent="0.2">
      <c r="A44" s="127" t="s">
        <v>53</v>
      </c>
      <c r="B44" s="127" t="s">
        <v>54</v>
      </c>
      <c r="C44" s="127"/>
      <c r="D44" s="127"/>
      <c r="E44" s="127"/>
      <c r="F44" s="127"/>
      <c r="G44" s="127"/>
      <c r="H44" s="127"/>
      <c r="I44" s="127"/>
    </row>
    <row r="45" spans="1:11" x14ac:dyDescent="0.2">
      <c r="A45" s="126" t="s">
        <v>55</v>
      </c>
      <c r="B45" s="126" t="s">
        <v>56</v>
      </c>
      <c r="C45" s="126"/>
      <c r="D45" s="126"/>
      <c r="E45" s="126"/>
      <c r="F45" s="126"/>
      <c r="G45" s="126"/>
      <c r="H45" s="126"/>
      <c r="I45" s="126"/>
    </row>
    <row r="46" spans="1:11" x14ac:dyDescent="0.2">
      <c r="A46" s="126" t="s">
        <v>57</v>
      </c>
      <c r="B46" s="126"/>
      <c r="C46" s="126" t="s">
        <v>58</v>
      </c>
      <c r="D46" s="126"/>
      <c r="E46" s="126"/>
      <c r="F46" s="9"/>
      <c r="G46" s="126" t="s">
        <v>3</v>
      </c>
      <c r="H46" s="133" t="str">
        <f>IF(F46="","",ROUND(F46/100*$H$5,2))</f>
        <v/>
      </c>
      <c r="I46" s="126" t="s">
        <v>4</v>
      </c>
      <c r="K46" s="129" t="str">
        <f>IF(F46="","Bitte ausfüllen!","")</f>
        <v>Bitte ausfüllen!</v>
      </c>
    </row>
    <row r="47" spans="1:11" x14ac:dyDescent="0.2">
      <c r="A47" s="126" t="s">
        <v>59</v>
      </c>
      <c r="B47" s="126"/>
      <c r="C47" s="126" t="s">
        <v>126</v>
      </c>
      <c r="D47" s="126"/>
      <c r="E47" s="126"/>
      <c r="F47" s="9"/>
      <c r="G47" s="126" t="s">
        <v>3</v>
      </c>
      <c r="H47" s="133" t="str">
        <f>IF(F47="","",ROUND(F47/100*$H$5,2))</f>
        <v/>
      </c>
      <c r="I47" s="126" t="s">
        <v>4</v>
      </c>
      <c r="K47" s="129" t="str">
        <f>IF(F47="","Bitte ausfüllen!","")</f>
        <v>Bitte ausfüllen!</v>
      </c>
    </row>
    <row r="48" spans="1:11" x14ac:dyDescent="0.2">
      <c r="A48" s="126" t="s">
        <v>60</v>
      </c>
      <c r="B48" s="126" t="s">
        <v>61</v>
      </c>
      <c r="C48" s="126"/>
      <c r="D48" s="126"/>
      <c r="E48" s="126"/>
      <c r="F48" s="9"/>
      <c r="G48" s="126" t="s">
        <v>3</v>
      </c>
      <c r="H48" s="133" t="str">
        <f>IF(F48="","",ROUND(F48/100*$H$5,2))</f>
        <v/>
      </c>
      <c r="I48" s="126" t="s">
        <v>4</v>
      </c>
      <c r="K48" s="129" t="str">
        <f>IF(F48="","Bitte ausfüllen!","")</f>
        <v>Bitte ausfüllen!</v>
      </c>
    </row>
    <row r="49" spans="1:11" x14ac:dyDescent="0.2">
      <c r="A49" s="126" t="s">
        <v>62</v>
      </c>
      <c r="B49" s="126" t="s">
        <v>63</v>
      </c>
      <c r="C49" s="126"/>
      <c r="D49" s="126"/>
      <c r="E49" s="126"/>
      <c r="F49" s="126"/>
      <c r="G49" s="126"/>
      <c r="H49" s="126"/>
      <c r="I49" s="126"/>
    </row>
    <row r="50" spans="1:11" x14ac:dyDescent="0.2">
      <c r="A50" s="126" t="s">
        <v>64</v>
      </c>
      <c r="B50" s="126"/>
      <c r="C50" s="126" t="s">
        <v>65</v>
      </c>
      <c r="D50" s="126"/>
      <c r="E50" s="126"/>
      <c r="F50" s="9"/>
      <c r="G50" s="126" t="s">
        <v>3</v>
      </c>
      <c r="H50" s="133" t="str">
        <f t="shared" ref="H50:H56" si="0">IF(F50="","",ROUND(F50/100*$H$5,2))</f>
        <v/>
      </c>
      <c r="I50" s="126" t="s">
        <v>4</v>
      </c>
      <c r="K50" s="129" t="str">
        <f t="shared" ref="K50:K56" si="1">IF(F50="","Bitte ausfüllen!","")</f>
        <v>Bitte ausfüllen!</v>
      </c>
    </row>
    <row r="51" spans="1:11" x14ac:dyDescent="0.2">
      <c r="A51" s="126" t="s">
        <v>66</v>
      </c>
      <c r="B51" s="126"/>
      <c r="C51" s="126" t="s">
        <v>67</v>
      </c>
      <c r="D51" s="126"/>
      <c r="E51" s="126"/>
      <c r="F51" s="9"/>
      <c r="G51" s="126" t="s">
        <v>3</v>
      </c>
      <c r="H51" s="133" t="str">
        <f t="shared" si="0"/>
        <v/>
      </c>
      <c r="I51" s="126" t="s">
        <v>4</v>
      </c>
      <c r="K51" s="129" t="str">
        <f t="shared" si="1"/>
        <v>Bitte ausfüllen!</v>
      </c>
    </row>
    <row r="52" spans="1:11" x14ac:dyDescent="0.2">
      <c r="A52" s="126" t="s">
        <v>68</v>
      </c>
      <c r="B52" s="126" t="s">
        <v>69</v>
      </c>
      <c r="C52" s="126"/>
      <c r="D52" s="126"/>
      <c r="E52" s="126"/>
      <c r="F52" s="9"/>
      <c r="G52" s="126" t="s">
        <v>3</v>
      </c>
      <c r="H52" s="133" t="str">
        <f t="shared" si="0"/>
        <v/>
      </c>
      <c r="I52" s="126" t="s">
        <v>4</v>
      </c>
      <c r="K52" s="129" t="str">
        <f t="shared" si="1"/>
        <v>Bitte ausfüllen!</v>
      </c>
    </row>
    <row r="53" spans="1:11" x14ac:dyDescent="0.2">
      <c r="A53" s="126" t="s">
        <v>70</v>
      </c>
      <c r="B53" s="126" t="s">
        <v>71</v>
      </c>
      <c r="C53" s="126"/>
      <c r="D53" s="126"/>
      <c r="E53" s="126"/>
      <c r="F53" s="9"/>
      <c r="G53" s="126" t="s">
        <v>3</v>
      </c>
      <c r="H53" s="133" t="str">
        <f t="shared" si="0"/>
        <v/>
      </c>
      <c r="I53" s="126" t="s">
        <v>4</v>
      </c>
      <c r="K53" s="129" t="str">
        <f t="shared" si="1"/>
        <v>Bitte ausfüllen!</v>
      </c>
    </row>
    <row r="54" spans="1:11" x14ac:dyDescent="0.2">
      <c r="A54" s="126" t="s">
        <v>72</v>
      </c>
      <c r="B54" s="126" t="s">
        <v>73</v>
      </c>
      <c r="C54" s="126"/>
      <c r="D54" s="126"/>
      <c r="E54" s="126"/>
      <c r="F54" s="9"/>
      <c r="G54" s="126" t="s">
        <v>3</v>
      </c>
      <c r="H54" s="133" t="str">
        <f t="shared" si="0"/>
        <v/>
      </c>
      <c r="I54" s="126" t="s">
        <v>4</v>
      </c>
      <c r="K54" s="129" t="str">
        <f t="shared" si="1"/>
        <v>Bitte ausfüllen!</v>
      </c>
    </row>
    <row r="55" spans="1:11" x14ac:dyDescent="0.2">
      <c r="A55" s="126" t="s">
        <v>74</v>
      </c>
      <c r="B55" s="126" t="s">
        <v>75</v>
      </c>
      <c r="C55" s="126"/>
      <c r="D55" s="126"/>
      <c r="E55" s="126"/>
      <c r="F55" s="9"/>
      <c r="G55" s="126" t="s">
        <v>3</v>
      </c>
      <c r="H55" s="133" t="str">
        <f t="shared" si="0"/>
        <v/>
      </c>
      <c r="I55" s="126" t="s">
        <v>4</v>
      </c>
      <c r="K55" s="129" t="str">
        <f t="shared" si="1"/>
        <v>Bitte ausfüllen!</v>
      </c>
    </row>
    <row r="56" spans="1:11" x14ac:dyDescent="0.2">
      <c r="A56" s="126" t="s">
        <v>76</v>
      </c>
      <c r="B56" s="126" t="s">
        <v>77</v>
      </c>
      <c r="C56" s="126"/>
      <c r="D56" s="126"/>
      <c r="E56" s="126"/>
      <c r="F56" s="9"/>
      <c r="G56" s="126" t="s">
        <v>3</v>
      </c>
      <c r="H56" s="133" t="str">
        <f t="shared" si="0"/>
        <v/>
      </c>
      <c r="I56" s="126" t="s">
        <v>4</v>
      </c>
      <c r="K56" s="129" t="str">
        <f t="shared" si="1"/>
        <v>Bitte ausfüllen!</v>
      </c>
    </row>
    <row r="57" spans="1:11" ht="25.5" customHeight="1" x14ac:dyDescent="0.2">
      <c r="A57" s="127"/>
      <c r="B57" s="212" t="s">
        <v>78</v>
      </c>
      <c r="C57" s="212"/>
      <c r="D57" s="127"/>
      <c r="E57" s="127"/>
      <c r="F57" s="134">
        <f>IF(SUM(F45:F56)=0,0,SUM(F45:F56))</f>
        <v>0</v>
      </c>
      <c r="G57" s="127" t="s">
        <v>3</v>
      </c>
      <c r="H57" s="135" t="str">
        <f>IF(COUNTIF(H46:H56,"")&gt;1,"",SUM(H46:H56))</f>
        <v/>
      </c>
      <c r="I57" s="127" t="s">
        <v>4</v>
      </c>
      <c r="K57" s="129" t="str">
        <f>IF(H57="","Angaben offen!","")</f>
        <v>Angaben offen!</v>
      </c>
    </row>
    <row r="58" spans="1:11" x14ac:dyDescent="0.2">
      <c r="A58" s="126"/>
      <c r="B58" s="126"/>
      <c r="C58" s="126"/>
      <c r="D58" s="126"/>
      <c r="E58" s="126"/>
      <c r="F58" s="130"/>
      <c r="G58" s="126"/>
      <c r="H58" s="130"/>
      <c r="I58" s="126"/>
    </row>
    <row r="59" spans="1:11" x14ac:dyDescent="0.2">
      <c r="A59" s="127" t="s">
        <v>79</v>
      </c>
      <c r="B59" s="211" t="s">
        <v>80</v>
      </c>
      <c r="C59" s="211"/>
      <c r="D59" s="127"/>
      <c r="E59" s="127"/>
      <c r="F59" s="139">
        <f>IF(AND(F34=""),0,F34+F42+F57+F5)</f>
        <v>100</v>
      </c>
      <c r="G59" s="127" t="s">
        <v>3</v>
      </c>
      <c r="H59" s="131" t="str">
        <f>IF(H57="","",H34+H42+H57+H5)</f>
        <v/>
      </c>
      <c r="I59" s="127" t="s">
        <v>4</v>
      </c>
    </row>
    <row r="60" spans="1:11" x14ac:dyDescent="0.2">
      <c r="A60" s="127" t="s">
        <v>81</v>
      </c>
      <c r="B60" s="127" t="s">
        <v>82</v>
      </c>
      <c r="C60" s="127"/>
      <c r="D60" s="127"/>
      <c r="E60" s="127"/>
      <c r="F60" s="9"/>
      <c r="G60" s="127" t="s">
        <v>3</v>
      </c>
      <c r="H60" s="135" t="str">
        <f>IF(F60="","",ROUND(F60/100*H59,2))</f>
        <v/>
      </c>
      <c r="I60" s="127" t="s">
        <v>4</v>
      </c>
      <c r="K60" s="129" t="str">
        <f>IF(F60="","Bitte ausfüllen!","")</f>
        <v>Bitte ausfüllen!</v>
      </c>
    </row>
    <row r="61" spans="1:11" x14ac:dyDescent="0.2">
      <c r="A61" s="127"/>
      <c r="B61" s="127" t="s">
        <v>83</v>
      </c>
      <c r="C61" s="127"/>
      <c r="D61" s="127"/>
      <c r="E61" s="127"/>
      <c r="F61" s="134">
        <f ca="1">IF(H61="",0,H61/H5*100)</f>
        <v>0</v>
      </c>
      <c r="G61" s="127" t="s">
        <v>3</v>
      </c>
      <c r="H61" s="135" t="str">
        <f ca="1">IF(SUM(COUNTIF(INDIRECT({"H5","F9:F13","D17:D26","F27:F28","F32:F33","F38:F41","F46:F48","F50:F56","F60","H65:H68"}),""))&gt;0,"",H59+H60)</f>
        <v/>
      </c>
      <c r="I61" s="127" t="s">
        <v>4</v>
      </c>
      <c r="K61" s="129" t="str">
        <f ca="1">IF(SUM(COUNTIF(INDIRECT({"H5","F9:F13","D17:D26","F27:F28","F32:F33","F38:F41","F46:F48","F50:F56","F60","H65:H68"}),""))&gt;0,SUM(COUNTIF(INDIRECT({"H5","F9:F13","D17:D26","F27:F28","F32:F33","F38:F41","F46:F48","F50:F56","F60","H65:H68"}),"")) &amp;" Zelle(n) ohne Wert!","")</f>
        <v>28 Zelle(n) ohne Wert!</v>
      </c>
    </row>
    <row r="62" spans="1:11" x14ac:dyDescent="0.2">
      <c r="A62" s="126"/>
      <c r="B62" s="126" t="s">
        <v>84</v>
      </c>
      <c r="C62" s="126"/>
      <c r="D62" s="126"/>
      <c r="E62" s="126"/>
      <c r="F62" s="134">
        <f ca="1">IF(F61=0,0,F61-F5)</f>
        <v>0</v>
      </c>
      <c r="G62" s="126" t="s">
        <v>3</v>
      </c>
      <c r="H62" s="126"/>
      <c r="I62" s="126"/>
      <c r="K62" s="129" t="str">
        <f ca="1">IF(F62&lt;70,"Bitte prüfen gemäß Aufforderung!","")</f>
        <v>Bitte prüfen gemäß Aufforderung!</v>
      </c>
    </row>
    <row r="63" spans="1:11" x14ac:dyDescent="0.2">
      <c r="A63" s="126"/>
      <c r="B63" s="126"/>
      <c r="C63" s="126"/>
      <c r="D63" s="126"/>
      <c r="E63" s="126"/>
      <c r="F63" s="126"/>
      <c r="G63" s="126"/>
      <c r="H63" s="126"/>
      <c r="I63" s="126"/>
    </row>
    <row r="64" spans="1:11" x14ac:dyDescent="0.2">
      <c r="B64" s="127" t="s">
        <v>85</v>
      </c>
      <c r="D64" s="127"/>
      <c r="E64" s="127"/>
      <c r="G64" s="127"/>
      <c r="H64" s="131" t="s">
        <v>86</v>
      </c>
    </row>
    <row r="65" spans="1:11" x14ac:dyDescent="0.2">
      <c r="B65" s="126" t="s">
        <v>87</v>
      </c>
      <c r="D65" s="126"/>
      <c r="E65" s="126"/>
      <c r="G65" s="140"/>
      <c r="H65" s="10"/>
      <c r="K65" s="129" t="str">
        <f>IF(H65="","Bitte ausfüllen!","")</f>
        <v>Bitte ausfüllen!</v>
      </c>
    </row>
    <row r="66" spans="1:11" x14ac:dyDescent="0.2">
      <c r="B66" s="126" t="s">
        <v>88</v>
      </c>
      <c r="D66" s="126"/>
      <c r="E66" s="126"/>
      <c r="G66" s="140"/>
      <c r="H66" s="11"/>
      <c r="K66" s="129" t="str">
        <f>IF(H66="","Bitte ausfüllen!","")</f>
        <v>Bitte ausfüllen!</v>
      </c>
    </row>
    <row r="67" spans="1:11" x14ac:dyDescent="0.2">
      <c r="B67" s="126" t="s">
        <v>89</v>
      </c>
      <c r="D67" s="126"/>
      <c r="E67" s="126"/>
      <c r="G67" s="140"/>
      <c r="H67" s="12"/>
      <c r="K67" s="129" t="str">
        <f>IF(H67="","Bitte ausfüllen!","")</f>
        <v>Bitte ausfüllen!</v>
      </c>
    </row>
    <row r="68" spans="1:11" x14ac:dyDescent="0.2">
      <c r="B68" s="126" t="s">
        <v>90</v>
      </c>
      <c r="D68" s="126"/>
      <c r="E68" s="126"/>
      <c r="G68" s="140"/>
      <c r="H68" s="11"/>
      <c r="K68" s="129" t="str">
        <f>IF(H68="","Bitte ausfüllen!","")</f>
        <v>Bitte ausfüllen!</v>
      </c>
    </row>
    <row r="70" spans="1:11" x14ac:dyDescent="0.2">
      <c r="C70" s="90"/>
      <c r="D70" s="4"/>
    </row>
    <row r="71" spans="1:11" ht="15.95" customHeight="1" x14ac:dyDescent="0.2">
      <c r="A71" s="202" t="s">
        <v>231</v>
      </c>
      <c r="B71" s="202"/>
      <c r="C71" s="202"/>
      <c r="D71" s="202" t="s">
        <v>243</v>
      </c>
      <c r="F71" s="204" t="s">
        <v>139</v>
      </c>
      <c r="G71" s="205"/>
      <c r="H71" s="206"/>
    </row>
    <row r="72" spans="1:11" ht="15.95" customHeight="1" x14ac:dyDescent="0.2">
      <c r="A72" s="203"/>
      <c r="B72" s="203"/>
      <c r="C72" s="203"/>
      <c r="D72" s="203"/>
      <c r="F72" s="207"/>
      <c r="G72" s="208"/>
      <c r="H72" s="209"/>
      <c r="I72" s="127"/>
      <c r="J72" s="127"/>
      <c r="K72" s="127"/>
    </row>
    <row r="73" spans="1:11" ht="19.899999999999999" customHeight="1" x14ac:dyDescent="0.2">
      <c r="A73" s="213">
        <v>1</v>
      </c>
      <c r="B73" s="213"/>
      <c r="C73" s="14" t="s">
        <v>134</v>
      </c>
      <c r="D73" s="92">
        <v>7.3</v>
      </c>
      <c r="F73" s="214" t="s">
        <v>647</v>
      </c>
      <c r="G73" s="214"/>
      <c r="H73" s="214"/>
    </row>
    <row r="74" spans="1:11" ht="19.899999999999999" customHeight="1" x14ac:dyDescent="0.2">
      <c r="A74" s="213">
        <v>2</v>
      </c>
      <c r="B74" s="213"/>
      <c r="C74" s="14" t="s">
        <v>135</v>
      </c>
      <c r="D74" s="92">
        <v>9.3000000000000007</v>
      </c>
    </row>
    <row r="75" spans="1:11" ht="24" customHeight="1" x14ac:dyDescent="0.2">
      <c r="A75" s="213">
        <v>3</v>
      </c>
      <c r="B75" s="213"/>
      <c r="C75" s="14" t="s">
        <v>136</v>
      </c>
      <c r="D75" s="92">
        <v>1.3</v>
      </c>
    </row>
    <row r="76" spans="1:11" ht="24" customHeight="1" x14ac:dyDescent="0.2">
      <c r="A76" s="213">
        <v>4</v>
      </c>
      <c r="B76" s="213"/>
      <c r="C76" s="14" t="s">
        <v>137</v>
      </c>
      <c r="D76" s="92">
        <f>IF( F73="Sachsen",1.3,1.8)</f>
        <v>1.8</v>
      </c>
    </row>
    <row r="77" spans="1:11" ht="24" customHeight="1" x14ac:dyDescent="0.2">
      <c r="A77" s="213">
        <v>5</v>
      </c>
      <c r="B77" s="213"/>
      <c r="C77" s="14" t="s">
        <v>159</v>
      </c>
      <c r="D77" s="92"/>
    </row>
    <row r="78" spans="1:11" ht="24" customHeight="1" x14ac:dyDescent="0.2">
      <c r="A78" s="213">
        <v>6</v>
      </c>
      <c r="B78" s="213"/>
      <c r="C78" s="14" t="s">
        <v>124</v>
      </c>
      <c r="D78" s="92"/>
    </row>
    <row r="79" spans="1:11" ht="24" customHeight="1" x14ac:dyDescent="0.2">
      <c r="A79" s="213">
        <v>7</v>
      </c>
      <c r="B79" s="213"/>
      <c r="C79" s="14" t="s">
        <v>138</v>
      </c>
      <c r="D79" s="92">
        <v>0.15</v>
      </c>
    </row>
  </sheetData>
  <sheetProtection algorithmName="SHA-512" hashValue="07OgzjBgSfpu6NFC7YUdWotkACXrdxaFWrmExMvyjwq8J2wXHoq0AcC23YeTSAROMWUYocUWGGW02FtPWBQNag==" saltValue="GBOh5L6jNNE1oPb66avc1w==" spinCount="100000" sheet="1" objects="1" scenarios="1"/>
  <mergeCells count="18">
    <mergeCell ref="A78:B78"/>
    <mergeCell ref="A79:B79"/>
    <mergeCell ref="F73:H73"/>
    <mergeCell ref="A73:B73"/>
    <mergeCell ref="A74:B74"/>
    <mergeCell ref="A75:B75"/>
    <mergeCell ref="A76:B76"/>
    <mergeCell ref="A77:B77"/>
    <mergeCell ref="A71:C72"/>
    <mergeCell ref="D71:D72"/>
    <mergeCell ref="F71:H72"/>
    <mergeCell ref="E1:I2"/>
    <mergeCell ref="A3:I3"/>
    <mergeCell ref="B59:C59"/>
    <mergeCell ref="B29:C29"/>
    <mergeCell ref="B34:C34"/>
    <mergeCell ref="B42:C42"/>
    <mergeCell ref="B57:C57"/>
  </mergeCells>
  <phoneticPr fontId="4" type="noConversion"/>
  <dataValidations count="1">
    <dataValidation type="decimal" errorStyle="warning" allowBlank="1" showInputMessage="1" showErrorMessage="1" error="Bitte überprüfen Sie Ihre Eingaben." sqref="C25" xr:uid="{00000000-0002-0000-0400-000000000000}">
      <formula1>8.5</formula1>
      <formula2>84</formula2>
    </dataValidation>
  </dataValidations>
  <hyperlinks>
    <hyperlink ref="K1" location="Inhaltsverzeichnis!A1" display="Zurück zum Inhaltsverzeichnis" xr:uid="{00000000-0004-0000-0400-000000000000}"/>
  </hyperlinks>
  <printOptions horizontalCentered="1"/>
  <pageMargins left="0.78740157480314965" right="0.78740157480314965" top="0.98425196850393704" bottom="0.98425196850393704" header="0.51181102362204722" footer="0.51181102362204722"/>
  <pageSetup paperSize="9" scale="69" orientation="portrait" r:id="rId1"/>
  <headerFooter alignWithMargins="0">
    <oddFooter>&amp;C&amp;P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ltText="Hinweis">
                <anchor moveWithCells="1">
                  <from>
                    <xdr:col>2</xdr:col>
                    <xdr:colOff>2914650</xdr:colOff>
                    <xdr:row>0</xdr:row>
                    <xdr:rowOff>95250</xdr:rowOff>
                  </from>
                  <to>
                    <xdr:col>3</xdr:col>
                    <xdr:colOff>552450</xdr:colOff>
                    <xdr:row>0</xdr:row>
                    <xdr:rowOff>381000</xdr:rowOff>
                  </to>
                </anchor>
              </controlPr>
            </control>
          </mc:Choice>
        </mc:AlternateContent>
        <mc:AlternateContent xmlns:mc="http://schemas.openxmlformats.org/markup-compatibility/2006">
          <mc:Choice Requires="x14">
            <control shapeId="27650" r:id="rId5" name="Check Box 2">
              <controlPr defaultSize="0" autoFill="0" autoLine="0" autoPict="0" altText="Hinweis">
                <anchor moveWithCells="1">
                  <from>
                    <xdr:col>2</xdr:col>
                    <xdr:colOff>2914650</xdr:colOff>
                    <xdr:row>0</xdr:row>
                    <xdr:rowOff>400050</xdr:rowOff>
                  </from>
                  <to>
                    <xdr:col>3</xdr:col>
                    <xdr:colOff>552450</xdr:colOff>
                    <xdr:row>1</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tabColor indexed="13"/>
  </sheetPr>
  <dimension ref="A1:V79"/>
  <sheetViews>
    <sheetView showGridLines="0" zoomScaleNormal="100" zoomScaleSheetLayoutView="85" workbookViewId="0"/>
  </sheetViews>
  <sheetFormatPr baseColWidth="10" defaultColWidth="11.42578125" defaultRowHeight="10.5" x14ac:dyDescent="0.2"/>
  <cols>
    <col min="1" max="1" width="6.42578125" style="3" customWidth="1"/>
    <col min="2" max="2" width="2.7109375" style="3" customWidth="1"/>
    <col min="3" max="3" width="45.5703125" style="3" customWidth="1"/>
    <col min="4" max="4" width="8.85546875" style="3" customWidth="1"/>
    <col min="5" max="5" width="2.5703125" style="3" customWidth="1"/>
    <col min="6" max="6" width="11.42578125" style="3"/>
    <col min="7" max="7" width="2.85546875" style="3" customWidth="1"/>
    <col min="8" max="8" width="11.42578125" style="3"/>
    <col min="9" max="9" width="2.7109375" style="3" bestFit="1" customWidth="1"/>
    <col min="10" max="10" width="1.28515625" style="3" customWidth="1"/>
    <col min="11" max="11" width="41.28515625" style="3" customWidth="1"/>
    <col min="12" max="12" width="62.28515625" style="7" customWidth="1"/>
    <col min="13" max="16" width="12.42578125" style="7" customWidth="1"/>
    <col min="17" max="16384" width="11.42578125" style="3"/>
  </cols>
  <sheetData>
    <row r="1" spans="1:16" ht="34.15" customHeight="1" x14ac:dyDescent="0.2">
      <c r="A1" s="125" t="str">
        <f ca="1">IF(H61&lt;&gt;"","","Bitte alle gelben Zellen ausfüllen.")</f>
        <v>Bitte alle gelben Zellen ausfüllen.</v>
      </c>
      <c r="D1" s="23" t="b">
        <v>0</v>
      </c>
      <c r="E1" s="192" t="str">
        <f>IF(D1=TRUE,"Alle gelben Zellen ausfüllen. Nichtbenötigte Positionen eindeutig mit 0 kennzeichnen.",IF(D2=TRUE,
"Die rot markierten Informationen sind nur zur Unterstützung. Sie zeigen an, wenn gelbe Zellen in dieser Tabelle nicht ausgefüllt sind. "&amp;
"Wenn keine rote Schrift mehr angezeigt wird, ist alles ausgefüllt.",""))</f>
        <v/>
      </c>
      <c r="F1" s="192"/>
      <c r="G1" s="192"/>
      <c r="H1" s="192"/>
      <c r="L1" s="3"/>
      <c r="M1" s="5" t="s">
        <v>100</v>
      </c>
    </row>
    <row r="2" spans="1:16" ht="41.25" customHeight="1" x14ac:dyDescent="0.2">
      <c r="A2" s="3" t="s">
        <v>105</v>
      </c>
      <c r="C2" s="4" t="str">
        <f>IF(Inhaltsverzeichnis!$C$3="", "",Inhaltsverzeichnis!$C$3)</f>
        <v/>
      </c>
      <c r="D2" s="23" t="b">
        <v>0</v>
      </c>
      <c r="E2" s="192"/>
      <c r="F2" s="192"/>
      <c r="G2" s="192"/>
      <c r="H2" s="192"/>
    </row>
    <row r="3" spans="1:16" ht="12.75" x14ac:dyDescent="0.2">
      <c r="A3" s="210" t="s">
        <v>633</v>
      </c>
      <c r="B3" s="210"/>
      <c r="C3" s="210"/>
      <c r="D3" s="210"/>
      <c r="E3" s="210"/>
      <c r="F3" s="210"/>
      <c r="G3" s="210"/>
      <c r="H3" s="210"/>
      <c r="I3" s="210"/>
      <c r="L3" s="142" t="s">
        <v>142</v>
      </c>
      <c r="M3" s="52">
        <v>30</v>
      </c>
      <c r="N3" s="52">
        <v>80</v>
      </c>
      <c r="O3" s="52">
        <v>200</v>
      </c>
      <c r="P3" s="52">
        <v>200</v>
      </c>
    </row>
    <row r="4" spans="1:16" x14ac:dyDescent="0.2">
      <c r="A4" s="126"/>
      <c r="B4" s="126"/>
      <c r="C4" s="126"/>
      <c r="D4" s="126"/>
      <c r="E4" s="126"/>
      <c r="F4" s="126"/>
      <c r="G4" s="126"/>
      <c r="H4" s="126"/>
      <c r="I4" s="126"/>
      <c r="L4" s="143" t="s">
        <v>143</v>
      </c>
      <c r="M4" s="53">
        <v>25</v>
      </c>
      <c r="N4" s="54">
        <v>50</v>
      </c>
      <c r="O4" s="54">
        <v>150</v>
      </c>
      <c r="P4" s="54">
        <v>125</v>
      </c>
    </row>
    <row r="5" spans="1:16" ht="31.5" x14ac:dyDescent="0.2">
      <c r="A5" s="127" t="s">
        <v>1</v>
      </c>
      <c r="B5" s="127" t="s">
        <v>2</v>
      </c>
      <c r="C5" s="127"/>
      <c r="D5" s="127"/>
      <c r="E5" s="127"/>
      <c r="F5" s="128">
        <v>100</v>
      </c>
      <c r="G5" s="127" t="s">
        <v>3</v>
      </c>
      <c r="H5" s="8">
        <v>15.67</v>
      </c>
      <c r="I5" s="127" t="s">
        <v>4</v>
      </c>
      <c r="K5" s="144" t="str">
        <f ca="1">IF(H5="","Bitte ausfüllen!",IF(H61="","Der voreingetragene produktive Stundenlohn ist eine Mindestanforderung. Inhalt der gelben Zellen kann angepasst werden.",""))</f>
        <v>Der voreingetragene produktive Stundenlohn ist eine Mindestanforderung. Inhalt der gelben Zellen kann angepasst werden.</v>
      </c>
      <c r="L5" s="142"/>
      <c r="M5" s="145" t="s">
        <v>144</v>
      </c>
      <c r="N5" s="145" t="s">
        <v>232</v>
      </c>
      <c r="O5" s="145" t="s">
        <v>157</v>
      </c>
      <c r="P5" s="145" t="s">
        <v>233</v>
      </c>
    </row>
    <row r="6" spans="1:16" x14ac:dyDescent="0.2">
      <c r="A6" s="126"/>
      <c r="B6" s="126"/>
      <c r="C6" s="126"/>
      <c r="D6" s="126"/>
      <c r="E6" s="126"/>
      <c r="F6" s="130"/>
      <c r="G6" s="126"/>
      <c r="H6" s="130"/>
      <c r="I6" s="126"/>
      <c r="L6" s="142"/>
      <c r="M6" s="146" t="s">
        <v>4</v>
      </c>
      <c r="N6" s="146" t="s">
        <v>4</v>
      </c>
      <c r="O6" s="146" t="s">
        <v>4</v>
      </c>
      <c r="P6" s="146" t="s">
        <v>4</v>
      </c>
    </row>
    <row r="7" spans="1:16" x14ac:dyDescent="0.2">
      <c r="A7" s="127" t="s">
        <v>5</v>
      </c>
      <c r="B7" s="127" t="s">
        <v>6</v>
      </c>
      <c r="C7" s="127"/>
      <c r="D7" s="127"/>
      <c r="E7" s="127"/>
      <c r="F7" s="131"/>
      <c r="G7" s="127"/>
      <c r="H7" s="131"/>
      <c r="I7" s="127"/>
      <c r="L7" s="143" t="s">
        <v>145</v>
      </c>
      <c r="M7" s="147" t="str">
        <f ca="1">IF($H$61="","",ROUND(M3/100*$H$5,2))</f>
        <v/>
      </c>
      <c r="N7" s="147" t="str">
        <f ca="1">IF($H$61="","",ROUND(N3/100*$H$5,2))</f>
        <v/>
      </c>
      <c r="O7" s="147" t="str">
        <f ca="1">IF($H$61="","",ROUND(O3/100*$H$5,2))</f>
        <v/>
      </c>
      <c r="P7" s="147" t="str">
        <f ca="1">IF($H$61="","",ROUND(P3/100*$H$5,2))</f>
        <v/>
      </c>
    </row>
    <row r="8" spans="1:16" ht="14.25" x14ac:dyDescent="0.2">
      <c r="A8" s="126" t="s">
        <v>7</v>
      </c>
      <c r="B8" s="126" t="s">
        <v>8</v>
      </c>
      <c r="C8" s="126"/>
      <c r="D8" s="126"/>
      <c r="E8" s="126"/>
      <c r="F8" s="131"/>
      <c r="G8" s="131"/>
      <c r="H8" s="131"/>
      <c r="I8" s="131"/>
      <c r="K8" s="132"/>
      <c r="L8" s="142"/>
      <c r="M8" s="143"/>
      <c r="N8" s="143"/>
      <c r="O8" s="143"/>
      <c r="P8" s="143"/>
    </row>
    <row r="9" spans="1:16" x14ac:dyDescent="0.2">
      <c r="A9" s="126" t="s">
        <v>9</v>
      </c>
      <c r="B9" s="126"/>
      <c r="C9" s="126" t="s">
        <v>10</v>
      </c>
      <c r="D9" s="126"/>
      <c r="E9" s="126"/>
      <c r="F9" s="9"/>
      <c r="G9" s="126" t="s">
        <v>3</v>
      </c>
      <c r="H9" s="133" t="str">
        <f>IF(F9="","",ROUND(F9/100*$H$5,2))</f>
        <v/>
      </c>
      <c r="I9" s="126" t="s">
        <v>4</v>
      </c>
      <c r="K9" s="129" t="str">
        <f>IF(F9="","Bitte ausfüllen!","")</f>
        <v>Bitte ausfüllen!</v>
      </c>
      <c r="L9" s="143" t="s">
        <v>146</v>
      </c>
      <c r="M9" s="147">
        <f>$H$5*(M4/100)</f>
        <v>3.9175</v>
      </c>
      <c r="N9" s="147">
        <f>$H$5*(N4/100)</f>
        <v>7.835</v>
      </c>
      <c r="O9" s="147">
        <f>$H$5*(O4/100)</f>
        <v>23.504999999999999</v>
      </c>
      <c r="P9" s="147">
        <f>$H$5*(P4/100)</f>
        <v>19.587499999999999</v>
      </c>
    </row>
    <row r="10" spans="1:16" x14ac:dyDescent="0.2">
      <c r="A10" s="126" t="s">
        <v>11</v>
      </c>
      <c r="B10" s="126"/>
      <c r="C10" s="126" t="s">
        <v>12</v>
      </c>
      <c r="D10" s="126"/>
      <c r="E10" s="126"/>
      <c r="F10" s="9"/>
      <c r="G10" s="126" t="s">
        <v>3</v>
      </c>
      <c r="H10" s="133" t="str">
        <f>IF(F10="","",ROUND(F10/100*$H$5,2))</f>
        <v/>
      </c>
      <c r="I10" s="126" t="s">
        <v>4</v>
      </c>
      <c r="K10" s="129" t="str">
        <f>IF(F10="","Bitte ausfüllen!","")</f>
        <v>Bitte ausfüllen!</v>
      </c>
      <c r="L10" s="143" t="s">
        <v>147</v>
      </c>
      <c r="M10" s="148" t="str">
        <f ca="1">IF(M7="","",M7-M9)</f>
        <v/>
      </c>
      <c r="N10" s="148" t="str">
        <f ca="1">IF(N7="","",N7-N9)</f>
        <v/>
      </c>
      <c r="O10" s="148" t="str">
        <f ca="1">IF(O7="","",O7-O9)</f>
        <v/>
      </c>
      <c r="P10" s="148" t="str">
        <f ca="1">IF(P7="","",P7-P9)</f>
        <v/>
      </c>
    </row>
    <row r="11" spans="1:16" x14ac:dyDescent="0.2">
      <c r="A11" s="126" t="s">
        <v>13</v>
      </c>
      <c r="B11" s="126"/>
      <c r="C11" s="126" t="s">
        <v>14</v>
      </c>
      <c r="D11" s="126"/>
      <c r="E11" s="126"/>
      <c r="F11" s="9"/>
      <c r="G11" s="126" t="s">
        <v>3</v>
      </c>
      <c r="H11" s="133" t="str">
        <f>IF(F11="","",ROUND(F11/100*$H$5,2))</f>
        <v/>
      </c>
      <c r="I11" s="126" t="s">
        <v>4</v>
      </c>
      <c r="K11" s="129" t="str">
        <f>IF(F11="","Bitte ausfüllen!","")</f>
        <v>Bitte ausfüllen!</v>
      </c>
      <c r="L11" s="143"/>
      <c r="M11" s="143"/>
      <c r="N11" s="143"/>
      <c r="O11" s="143"/>
      <c r="P11" s="143"/>
    </row>
    <row r="12" spans="1:16" x14ac:dyDescent="0.2">
      <c r="A12" s="126" t="s">
        <v>15</v>
      </c>
      <c r="B12" s="126"/>
      <c r="C12" s="126" t="s">
        <v>16</v>
      </c>
      <c r="D12" s="126"/>
      <c r="E12" s="126"/>
      <c r="F12" s="9"/>
      <c r="G12" s="126" t="s">
        <v>3</v>
      </c>
      <c r="H12" s="133" t="str">
        <f>IF(F12="","",ROUND(F12/100*$H$5,2))</f>
        <v/>
      </c>
      <c r="I12" s="126" t="s">
        <v>4</v>
      </c>
      <c r="K12" s="129" t="str">
        <f>IF(F12="","Bitte ausfüllen!","")</f>
        <v>Bitte ausfüllen!</v>
      </c>
      <c r="L12" s="143" t="s">
        <v>148</v>
      </c>
      <c r="M12" s="147" t="str">
        <f ca="1">IF(M10="","",$D17%*M$10)</f>
        <v/>
      </c>
      <c r="N12" s="147" t="str">
        <f ca="1">IF(N10="","",$D17%*N$10)</f>
        <v/>
      </c>
      <c r="O12" s="147" t="str">
        <f ca="1">IF(O10="","",$D17%*O$10)</f>
        <v/>
      </c>
      <c r="P12" s="147" t="str">
        <f ca="1">IF(P10="","",$D17%*P$10)</f>
        <v/>
      </c>
    </row>
    <row r="13" spans="1:16" x14ac:dyDescent="0.2">
      <c r="A13" s="126" t="s">
        <v>17</v>
      </c>
      <c r="B13" s="126"/>
      <c r="C13" s="126" t="s">
        <v>18</v>
      </c>
      <c r="D13" s="126"/>
      <c r="E13" s="126"/>
      <c r="F13" s="9"/>
      <c r="G13" s="126" t="s">
        <v>3</v>
      </c>
      <c r="H13" s="133" t="str">
        <f>IF(F13="","",ROUND(F13/100*$H$5,2))</f>
        <v/>
      </c>
      <c r="I13" s="126" t="s">
        <v>4</v>
      </c>
      <c r="K13" s="129" t="str">
        <f>IF(F13="","Bitte ausfüllen!","")</f>
        <v>Bitte ausfüllen!</v>
      </c>
      <c r="L13" s="143" t="s">
        <v>23</v>
      </c>
      <c r="M13" s="147" t="str">
        <f ca="1">IF(M12="","",$D18%*M$10)</f>
        <v/>
      </c>
      <c r="N13" s="147" t="str">
        <f ca="1">IF(N12="","",$D18%*N$10)</f>
        <v/>
      </c>
      <c r="O13" s="147" t="str">
        <f ca="1">IF(O12="","",$D18%*O$10)</f>
        <v/>
      </c>
      <c r="P13" s="147" t="str">
        <f ca="1">IF(P12="","",$D18%*P$10)</f>
        <v/>
      </c>
    </row>
    <row r="14" spans="1:16" x14ac:dyDescent="0.2">
      <c r="A14" s="127"/>
      <c r="B14" s="127" t="s">
        <v>19</v>
      </c>
      <c r="C14" s="127"/>
      <c r="D14" s="127"/>
      <c r="E14" s="127"/>
      <c r="F14" s="134">
        <f>IF(SUM(F9:F13)=0,0,SUM(F9:F13))</f>
        <v>0</v>
      </c>
      <c r="G14" s="127" t="s">
        <v>3</v>
      </c>
      <c r="H14" s="135" t="str">
        <f>IF(COUNTIF(F9:F13,"")&gt;0,"",SUM(H8:H13))</f>
        <v/>
      </c>
      <c r="I14" s="127" t="s">
        <v>4</v>
      </c>
      <c r="K14" s="129" t="str">
        <f>IF(H14="","Angaben offen!","")</f>
        <v>Angaben offen!</v>
      </c>
      <c r="L14" s="143" t="s">
        <v>149</v>
      </c>
      <c r="M14" s="147" t="str">
        <f t="shared" ref="M14:M21" ca="1" si="0">IF(M13="","",$D19%*M$10)</f>
        <v/>
      </c>
      <c r="N14" s="147" t="str">
        <f t="shared" ref="N14:N21" ca="1" si="1">IF(N13="","",$D19%*N$10)</f>
        <v/>
      </c>
      <c r="O14" s="147" t="str">
        <f t="shared" ref="O14:O21" ca="1" si="2">IF(O13="","",$D19%*O$10)</f>
        <v/>
      </c>
      <c r="P14" s="147" t="str">
        <f t="shared" ref="P14:P21" ca="1" si="3">IF(P13="","",$D19%*P$10)</f>
        <v/>
      </c>
    </row>
    <row r="15" spans="1:16" x14ac:dyDescent="0.2">
      <c r="A15" s="126"/>
      <c r="B15" s="126"/>
      <c r="C15" s="126"/>
      <c r="D15" s="126"/>
      <c r="E15" s="126"/>
      <c r="F15" s="130"/>
      <c r="G15" s="126"/>
      <c r="H15" s="130"/>
      <c r="I15" s="126"/>
      <c r="L15" s="143" t="s">
        <v>25</v>
      </c>
      <c r="M15" s="147" t="str">
        <f t="shared" ca="1" si="0"/>
        <v/>
      </c>
      <c r="N15" s="147" t="str">
        <f t="shared" ca="1" si="1"/>
        <v/>
      </c>
      <c r="O15" s="147" t="str">
        <f t="shared" ca="1" si="2"/>
        <v/>
      </c>
      <c r="P15" s="147" t="str">
        <f t="shared" ca="1" si="3"/>
        <v/>
      </c>
    </row>
    <row r="16" spans="1:16" x14ac:dyDescent="0.2">
      <c r="A16" s="127" t="s">
        <v>20</v>
      </c>
      <c r="B16" s="127" t="s">
        <v>21</v>
      </c>
      <c r="C16" s="127"/>
      <c r="D16" s="127"/>
      <c r="E16" s="127"/>
      <c r="F16" s="131"/>
      <c r="G16" s="127"/>
      <c r="H16" s="131"/>
      <c r="I16" s="127"/>
      <c r="L16" s="143" t="s">
        <v>150</v>
      </c>
      <c r="M16" s="147" t="str">
        <f t="shared" ca="1" si="0"/>
        <v/>
      </c>
      <c r="N16" s="147" t="str">
        <f t="shared" ca="1" si="1"/>
        <v/>
      </c>
      <c r="O16" s="147" t="str">
        <f t="shared" ca="1" si="2"/>
        <v/>
      </c>
      <c r="P16" s="147" t="str">
        <f t="shared" ca="1" si="3"/>
        <v/>
      </c>
    </row>
    <row r="17" spans="1:22" ht="11.25" x14ac:dyDescent="0.2">
      <c r="A17" s="126" t="s">
        <v>22</v>
      </c>
      <c r="B17" s="126" t="s">
        <v>127</v>
      </c>
      <c r="C17" s="126"/>
      <c r="D17" s="9">
        <f>D73</f>
        <v>7.3</v>
      </c>
      <c r="E17" s="126" t="s">
        <v>3</v>
      </c>
      <c r="F17" s="130"/>
      <c r="G17" s="126"/>
      <c r="H17" s="130"/>
      <c r="I17" s="126"/>
      <c r="K17" s="129" t="str">
        <f ca="1">IF(D17&lt;D73,"Wert prüfen!",IF(H61="","Inhalt der gelben Zellen kann angepasst werden.",""))</f>
        <v>Inhalt der gelben Zellen kann angepasst werden.</v>
      </c>
      <c r="L17" s="143" t="s">
        <v>27</v>
      </c>
      <c r="M17" s="147" t="str">
        <f t="shared" ca="1" si="0"/>
        <v/>
      </c>
      <c r="N17" s="147" t="str">
        <f t="shared" ca="1" si="1"/>
        <v/>
      </c>
      <c r="O17" s="147" t="str">
        <f t="shared" ca="1" si="2"/>
        <v/>
      </c>
      <c r="P17" s="147" t="str">
        <f t="shared" ca="1" si="3"/>
        <v/>
      </c>
    </row>
    <row r="18" spans="1:22" x14ac:dyDescent="0.2">
      <c r="A18" s="126"/>
      <c r="B18" s="126" t="s">
        <v>23</v>
      </c>
      <c r="C18" s="126"/>
      <c r="D18" s="136">
        <f>(D17/100)*$F$14</f>
        <v>0</v>
      </c>
      <c r="E18" s="126" t="s">
        <v>3</v>
      </c>
      <c r="F18" s="137">
        <f>IF(D18="","",D17+D18)</f>
        <v>7.3</v>
      </c>
      <c r="G18" s="126" t="s">
        <v>3</v>
      </c>
      <c r="H18" s="133">
        <f>IF(D18="","",ROUND(F18/100*$H$5,2))</f>
        <v>1.1399999999999999</v>
      </c>
      <c r="I18" s="126" t="s">
        <v>4</v>
      </c>
      <c r="K18" s="129"/>
      <c r="L18" s="143" t="s">
        <v>151</v>
      </c>
      <c r="M18" s="147" t="str">
        <f t="shared" ca="1" si="0"/>
        <v/>
      </c>
      <c r="N18" s="147" t="str">
        <f t="shared" ca="1" si="1"/>
        <v/>
      </c>
      <c r="O18" s="147" t="str">
        <f t="shared" ca="1" si="2"/>
        <v/>
      </c>
      <c r="P18" s="147" t="str">
        <f t="shared" ca="1" si="3"/>
        <v/>
      </c>
    </row>
    <row r="19" spans="1:22" ht="11.25" x14ac:dyDescent="0.2">
      <c r="A19" s="126" t="s">
        <v>24</v>
      </c>
      <c r="B19" s="126" t="s">
        <v>128</v>
      </c>
      <c r="C19" s="126"/>
      <c r="D19" s="9">
        <f>D74</f>
        <v>9.3000000000000007</v>
      </c>
      <c r="E19" s="126" t="s">
        <v>3</v>
      </c>
      <c r="F19" s="138"/>
      <c r="G19" s="126"/>
      <c r="H19" s="130"/>
      <c r="I19" s="126"/>
      <c r="K19" s="129" t="str">
        <f ca="1">IF(D19&lt;&gt;D74,"Wert prüfen!",IF(H61="","Inhalt der gelben Zellen kann angepasst werden.",""))</f>
        <v>Inhalt der gelben Zellen kann angepasst werden.</v>
      </c>
      <c r="L19" s="143" t="s">
        <v>29</v>
      </c>
      <c r="M19" s="147" t="str">
        <f t="shared" ca="1" si="0"/>
        <v/>
      </c>
      <c r="N19" s="147" t="str">
        <f t="shared" ca="1" si="1"/>
        <v/>
      </c>
      <c r="O19" s="147" t="str">
        <f t="shared" ca="1" si="2"/>
        <v/>
      </c>
      <c r="P19" s="147" t="str">
        <f t="shared" ca="1" si="3"/>
        <v/>
      </c>
    </row>
    <row r="20" spans="1:22" x14ac:dyDescent="0.2">
      <c r="A20" s="126"/>
      <c r="B20" s="126" t="s">
        <v>25</v>
      </c>
      <c r="C20" s="126"/>
      <c r="D20" s="136">
        <f>(D19/100)*$F$14</f>
        <v>0</v>
      </c>
      <c r="E20" s="126" t="s">
        <v>3</v>
      </c>
      <c r="F20" s="137">
        <f>IF(D20="","",D19+D20)</f>
        <v>9.3000000000000007</v>
      </c>
      <c r="G20" s="126" t="s">
        <v>3</v>
      </c>
      <c r="H20" s="133">
        <f>IF(D20="","",ROUND(F20/100*$H$5,2))</f>
        <v>1.46</v>
      </c>
      <c r="I20" s="126" t="s">
        <v>4</v>
      </c>
      <c r="K20" s="129"/>
      <c r="L20" s="143" t="s">
        <v>152</v>
      </c>
      <c r="M20" s="147" t="str">
        <f t="shared" ca="1" si="0"/>
        <v/>
      </c>
      <c r="N20" s="147" t="str">
        <f t="shared" ca="1" si="1"/>
        <v/>
      </c>
      <c r="O20" s="147" t="str">
        <f t="shared" ca="1" si="2"/>
        <v/>
      </c>
      <c r="P20" s="147" t="str">
        <f t="shared" ca="1" si="3"/>
        <v/>
      </c>
    </row>
    <row r="21" spans="1:22" ht="11.25" x14ac:dyDescent="0.2">
      <c r="A21" s="126" t="s">
        <v>26</v>
      </c>
      <c r="B21" s="126" t="s">
        <v>129</v>
      </c>
      <c r="C21" s="126"/>
      <c r="D21" s="9">
        <f>D75</f>
        <v>1.3</v>
      </c>
      <c r="E21" s="126" t="s">
        <v>3</v>
      </c>
      <c r="F21" s="138"/>
      <c r="G21" s="126"/>
      <c r="H21" s="130"/>
      <c r="I21" s="126"/>
      <c r="K21" s="129" t="str">
        <f ca="1">IF(D21&lt;&gt;D75,"Wert prüfen!",IF(H61="","Inhalt der gelben Zellen kann angepasst werden.",""))</f>
        <v>Inhalt der gelben Zellen kann angepasst werden.</v>
      </c>
      <c r="L21" s="143" t="s">
        <v>31</v>
      </c>
      <c r="M21" s="147" t="str">
        <f t="shared" ca="1" si="0"/>
        <v/>
      </c>
      <c r="N21" s="147" t="str">
        <f t="shared" ca="1" si="1"/>
        <v/>
      </c>
      <c r="O21" s="147" t="str">
        <f t="shared" ca="1" si="2"/>
        <v/>
      </c>
      <c r="P21" s="147" t="str">
        <f t="shared" ca="1" si="3"/>
        <v/>
      </c>
    </row>
    <row r="22" spans="1:22" x14ac:dyDescent="0.2">
      <c r="A22" s="126"/>
      <c r="B22" s="126" t="s">
        <v>27</v>
      </c>
      <c r="C22" s="126"/>
      <c r="D22" s="136">
        <f>(D21/100)*$F$14</f>
        <v>0</v>
      </c>
      <c r="E22" s="126" t="s">
        <v>3</v>
      </c>
      <c r="F22" s="137">
        <f>IF(D22="","",D21+D22)</f>
        <v>1.3</v>
      </c>
      <c r="G22" s="126" t="s">
        <v>3</v>
      </c>
      <c r="H22" s="133">
        <f>IF(D22="","",ROUND(F22/100*$H$5,2))</f>
        <v>0.2</v>
      </c>
      <c r="I22" s="126" t="s">
        <v>4</v>
      </c>
      <c r="K22" s="129"/>
      <c r="L22" s="143" t="s">
        <v>153</v>
      </c>
      <c r="M22" s="147" t="str">
        <f>IF($F$27="","",ROUND($F$27/100*M7,2))</f>
        <v/>
      </c>
      <c r="N22" s="147" t="str">
        <f>IF($F$27="","",ROUND($F$27/100*N7,2))</f>
        <v/>
      </c>
      <c r="O22" s="147" t="str">
        <f>IF($F$27="","",ROUND($F$27/100*O7,2))</f>
        <v/>
      </c>
      <c r="P22" s="147" t="str">
        <f>IF($F$27="","",ROUND($F$27/100*P7,2))</f>
        <v/>
      </c>
    </row>
    <row r="23" spans="1:22" ht="11.25" x14ac:dyDescent="0.2">
      <c r="A23" s="126" t="s">
        <v>28</v>
      </c>
      <c r="B23" s="126" t="s">
        <v>130</v>
      </c>
      <c r="C23" s="126"/>
      <c r="D23" s="9">
        <f>D76</f>
        <v>1.8</v>
      </c>
      <c r="E23" s="126" t="s">
        <v>3</v>
      </c>
      <c r="F23" s="138"/>
      <c r="G23" s="126"/>
      <c r="H23" s="130"/>
      <c r="I23" s="126"/>
      <c r="K23" s="129" t="str">
        <f ca="1">IF(D23&lt;&gt;D76,"Wert prüfen!",IF(H61="","Inhalt der gelben Zellen kann angepasst werden.",""))</f>
        <v>Inhalt der gelben Zellen kann angepasst werden.</v>
      </c>
      <c r="L23" s="142" t="s">
        <v>37</v>
      </c>
      <c r="M23" s="149" t="str">
        <f>IF($F$32="","",ROUND($F$32/100*M7,2))</f>
        <v/>
      </c>
      <c r="N23" s="149" t="str">
        <f t="shared" ref="N23:P23" si="4">IF($F$32="","",ROUND($F$32/100*N7,2))</f>
        <v/>
      </c>
      <c r="O23" s="149" t="str">
        <f t="shared" si="4"/>
        <v/>
      </c>
      <c r="P23" s="149" t="str">
        <f t="shared" si="4"/>
        <v/>
      </c>
      <c r="Q23" s="22"/>
      <c r="R23" s="22"/>
      <c r="S23" s="22"/>
      <c r="T23" s="22"/>
      <c r="U23" s="22"/>
      <c r="V23" s="22"/>
    </row>
    <row r="24" spans="1:22" x14ac:dyDescent="0.2">
      <c r="A24" s="126"/>
      <c r="B24" s="126" t="s">
        <v>29</v>
      </c>
      <c r="C24" s="126"/>
      <c r="D24" s="136">
        <f>(D23/100)*$F$14</f>
        <v>0</v>
      </c>
      <c r="E24" s="126" t="s">
        <v>3</v>
      </c>
      <c r="F24" s="137">
        <f>IF(D24="","",D23+D24)</f>
        <v>1.8</v>
      </c>
      <c r="G24" s="126" t="s">
        <v>3</v>
      </c>
      <c r="H24" s="133">
        <f>IF(D24="","",ROUND(F24/100*$H$5,2))</f>
        <v>0.28000000000000003</v>
      </c>
      <c r="I24" s="126" t="s">
        <v>4</v>
      </c>
      <c r="K24" s="129"/>
      <c r="L24" s="143" t="s">
        <v>154</v>
      </c>
      <c r="M24" s="147">
        <f ca="1">SUM(M12:M23)</f>
        <v>0</v>
      </c>
      <c r="N24" s="147">
        <f t="shared" ref="N24:P24" ca="1" si="5">SUM(N12:N23)</f>
        <v>0</v>
      </c>
      <c r="O24" s="147">
        <f t="shared" ca="1" si="5"/>
        <v>0</v>
      </c>
      <c r="P24" s="147">
        <f t="shared" ca="1" si="5"/>
        <v>0</v>
      </c>
    </row>
    <row r="25" spans="1:22" ht="11.25" x14ac:dyDescent="0.2">
      <c r="A25" s="126" t="s">
        <v>30</v>
      </c>
      <c r="B25" s="126" t="s">
        <v>131</v>
      </c>
      <c r="C25" s="126"/>
      <c r="D25" s="9"/>
      <c r="E25" s="126" t="s">
        <v>3</v>
      </c>
      <c r="F25" s="138"/>
      <c r="G25" s="126"/>
      <c r="H25" s="130"/>
      <c r="I25" s="126"/>
      <c r="K25" s="129" t="str">
        <f>IF(D25="","Bitte ausfüllen!","")</f>
        <v>Bitte ausfüllen!</v>
      </c>
      <c r="L25" s="143" t="s">
        <v>155</v>
      </c>
      <c r="M25" s="148" t="str">
        <f ca="1">IF(M7="","",(SUM(M12:M23)+M7))</f>
        <v/>
      </c>
      <c r="N25" s="148" t="str">
        <f t="shared" ref="N25:P25" ca="1" si="6">IF(N7="","",(SUM(N12:N23)+N7))</f>
        <v/>
      </c>
      <c r="O25" s="148" t="str">
        <f t="shared" ca="1" si="6"/>
        <v/>
      </c>
      <c r="P25" s="148" t="str">
        <f t="shared" ca="1" si="6"/>
        <v/>
      </c>
    </row>
    <row r="26" spans="1:22" x14ac:dyDescent="0.2">
      <c r="A26" s="126"/>
      <c r="B26" s="126" t="s">
        <v>31</v>
      </c>
      <c r="C26" s="126"/>
      <c r="D26" s="136">
        <f>(D25/100)*$F$14</f>
        <v>0</v>
      </c>
      <c r="E26" s="126" t="s">
        <v>3</v>
      </c>
      <c r="F26" s="137">
        <f>IF(D26="","",D25+D26)</f>
        <v>0</v>
      </c>
      <c r="G26" s="126" t="s">
        <v>3</v>
      </c>
      <c r="H26" s="133">
        <f>IF(D26="","",ROUND(F26/100*$H$5,2))</f>
        <v>0</v>
      </c>
      <c r="I26" s="126" t="s">
        <v>4</v>
      </c>
      <c r="K26" s="129"/>
      <c r="L26" s="143"/>
      <c r="M26" s="143"/>
      <c r="N26" s="143"/>
      <c r="O26" s="143"/>
      <c r="P26" s="143"/>
    </row>
    <row r="27" spans="1:22" ht="11.25" x14ac:dyDescent="0.2">
      <c r="A27" s="126" t="s">
        <v>32</v>
      </c>
      <c r="B27" s="126" t="s">
        <v>132</v>
      </c>
      <c r="C27" s="126"/>
      <c r="D27" s="126"/>
      <c r="E27" s="126"/>
      <c r="F27" s="9"/>
      <c r="G27" s="126" t="s">
        <v>3</v>
      </c>
      <c r="H27" s="133" t="str">
        <f>IF(F27="","",ROUND(F27/100*$H$5,2))</f>
        <v/>
      </c>
      <c r="I27" s="126" t="s">
        <v>4</v>
      </c>
      <c r="K27" s="129" t="str">
        <f>IF(F27="","Bitte ausfüllen!","")</f>
        <v>Bitte ausfüllen!</v>
      </c>
      <c r="L27" s="143" t="s">
        <v>156</v>
      </c>
      <c r="M27" s="150" t="str">
        <f ca="1">IF(M25="","",ROUND($H$61+M25,2))</f>
        <v/>
      </c>
      <c r="N27" s="150" t="str">
        <f t="shared" ref="N27:P27" ca="1" si="7">IF(N25="","",ROUND($H$61+N25,2))</f>
        <v/>
      </c>
      <c r="O27" s="150" t="str">
        <f t="shared" ca="1" si="7"/>
        <v/>
      </c>
      <c r="P27" s="150" t="str">
        <f t="shared" ca="1" si="7"/>
        <v/>
      </c>
    </row>
    <row r="28" spans="1:22" ht="11.25" x14ac:dyDescent="0.2">
      <c r="A28" s="126" t="s">
        <v>33</v>
      </c>
      <c r="B28" s="126" t="s">
        <v>133</v>
      </c>
      <c r="C28" s="126"/>
      <c r="D28" s="126"/>
      <c r="E28" s="126"/>
      <c r="F28" s="9">
        <f>D79</f>
        <v>0.15</v>
      </c>
      <c r="G28" s="126" t="s">
        <v>3</v>
      </c>
      <c r="H28" s="133">
        <f>IF(F28="","",ROUND(F28/100*$H$5,2))</f>
        <v>0.02</v>
      </c>
      <c r="I28" s="126" t="s">
        <v>4</v>
      </c>
      <c r="K28" s="129" t="str">
        <f ca="1">IF(F28&lt;&gt;D79,"Wert prüfen!",IF(H61="","Inhalt der gelben Zellen kann angepasst werden.",""))</f>
        <v>Inhalt der gelben Zellen kann angepasst werden.</v>
      </c>
    </row>
    <row r="29" spans="1:22" ht="25.5" customHeight="1" x14ac:dyDescent="0.2">
      <c r="A29" s="127"/>
      <c r="B29" s="212" t="s">
        <v>34</v>
      </c>
      <c r="C29" s="212"/>
      <c r="D29" s="127"/>
      <c r="E29" s="127"/>
      <c r="F29" s="134">
        <f>IF(SUM(F17:F28)=0,0,SUM(F17:F28)+F14)</f>
        <v>19.850000000000001</v>
      </c>
      <c r="G29" s="127" t="s">
        <v>3</v>
      </c>
      <c r="H29" s="135" t="str">
        <f>IF(OR(COUNTIF(D17:D26,"")&gt;0,COUNTIF(F27:F28,"")&gt;0),"",SUM(H17:H28)+H14)</f>
        <v/>
      </c>
      <c r="I29" s="127" t="s">
        <v>4</v>
      </c>
      <c r="K29" s="129" t="str">
        <f>IF(H29="","Angaben offen!","")</f>
        <v>Angaben offen!</v>
      </c>
    </row>
    <row r="30" spans="1:22" x14ac:dyDescent="0.2">
      <c r="A30" s="126"/>
      <c r="B30" s="126"/>
      <c r="C30" s="126"/>
      <c r="D30" s="126"/>
      <c r="E30" s="126"/>
      <c r="F30" s="130"/>
      <c r="G30" s="126"/>
      <c r="H30" s="130"/>
      <c r="I30" s="126"/>
    </row>
    <row r="31" spans="1:22" x14ac:dyDescent="0.2">
      <c r="A31" s="126"/>
      <c r="B31" s="127" t="s">
        <v>35</v>
      </c>
      <c r="C31" s="126"/>
      <c r="D31" s="126"/>
      <c r="E31" s="126"/>
      <c r="F31" s="130"/>
      <c r="G31" s="126"/>
      <c r="H31" s="130"/>
      <c r="I31" s="126"/>
    </row>
    <row r="32" spans="1:22" x14ac:dyDescent="0.2">
      <c r="A32" s="126" t="s">
        <v>36</v>
      </c>
      <c r="B32" s="126" t="s">
        <v>37</v>
      </c>
      <c r="C32" s="126"/>
      <c r="D32" s="126"/>
      <c r="E32" s="126"/>
      <c r="F32" s="9"/>
      <c r="G32" s="126" t="s">
        <v>3</v>
      </c>
      <c r="H32" s="133" t="str">
        <f>IF(F32="","",ROUND(F32/100*$H$5,2))</f>
        <v/>
      </c>
      <c r="I32" s="126" t="s">
        <v>4</v>
      </c>
      <c r="K32" s="129" t="str">
        <f>IF(F32="","Bitte ausfüllen!","")</f>
        <v>Bitte ausfüllen!</v>
      </c>
    </row>
    <row r="33" spans="1:11" x14ac:dyDescent="0.2">
      <c r="A33" s="126" t="s">
        <v>38</v>
      </c>
      <c r="B33" s="126" t="s">
        <v>39</v>
      </c>
      <c r="C33" s="126"/>
      <c r="D33" s="126"/>
      <c r="E33" s="126"/>
      <c r="F33" s="9"/>
      <c r="G33" s="126" t="s">
        <v>3</v>
      </c>
      <c r="H33" s="133" t="str">
        <f>IF(F33="","",ROUND(F33/100*$H$5,2))</f>
        <v/>
      </c>
      <c r="I33" s="126" t="s">
        <v>4</v>
      </c>
      <c r="K33" s="129" t="str">
        <f>IF(F33="","Bitte ausfüllen!","")</f>
        <v>Bitte ausfüllen!</v>
      </c>
    </row>
    <row r="34" spans="1:11" ht="25.5" customHeight="1" x14ac:dyDescent="0.2">
      <c r="A34" s="127"/>
      <c r="B34" s="212" t="s">
        <v>40</v>
      </c>
      <c r="C34" s="212"/>
      <c r="D34" s="127"/>
      <c r="E34" s="127"/>
      <c r="F34" s="134">
        <f>IF(SUM(F32:F33)=0,0,SUM(F32:F33)+F29)</f>
        <v>0</v>
      </c>
      <c r="G34" s="127" t="s">
        <v>3</v>
      </c>
      <c r="H34" s="135" t="str">
        <f>IF(COUNTIF(H32:H33,"")&gt;0,"",SUM(H32:H33)+H29)</f>
        <v/>
      </c>
      <c r="I34" s="127" t="s">
        <v>4</v>
      </c>
      <c r="K34" s="129" t="str">
        <f>IF(H34="","Angaben offen!","")</f>
        <v>Angaben offen!</v>
      </c>
    </row>
    <row r="35" spans="1:11" x14ac:dyDescent="0.2">
      <c r="A35" s="126"/>
      <c r="B35" s="126"/>
      <c r="C35" s="126"/>
      <c r="D35" s="126"/>
      <c r="E35" s="126"/>
      <c r="F35" s="130"/>
      <c r="G35" s="126"/>
      <c r="H35" s="130"/>
      <c r="I35" s="126"/>
    </row>
    <row r="36" spans="1:11" x14ac:dyDescent="0.2">
      <c r="A36" s="127" t="s">
        <v>41</v>
      </c>
      <c r="B36" s="127" t="s">
        <v>42</v>
      </c>
      <c r="C36" s="127"/>
      <c r="D36" s="127"/>
      <c r="E36" s="127"/>
      <c r="F36" s="131"/>
      <c r="G36" s="127"/>
      <c r="H36" s="131"/>
      <c r="I36" s="127"/>
    </row>
    <row r="37" spans="1:11" x14ac:dyDescent="0.2">
      <c r="A37" s="126" t="s">
        <v>43</v>
      </c>
      <c r="B37" s="126" t="s">
        <v>44</v>
      </c>
      <c r="C37" s="126"/>
      <c r="D37" s="126"/>
      <c r="E37" s="126"/>
      <c r="F37" s="130"/>
      <c r="G37" s="126"/>
      <c r="H37" s="130"/>
      <c r="I37" s="126"/>
    </row>
    <row r="38" spans="1:11" x14ac:dyDescent="0.2">
      <c r="A38" s="126"/>
      <c r="B38" s="126" t="s">
        <v>45</v>
      </c>
      <c r="C38" s="126"/>
      <c r="D38" s="126"/>
      <c r="E38" s="126"/>
      <c r="F38" s="9"/>
      <c r="G38" s="126" t="s">
        <v>3</v>
      </c>
      <c r="H38" s="133" t="str">
        <f>IF(F38="","",ROUND(F38/100*$H$5,2))</f>
        <v/>
      </c>
      <c r="I38" s="126" t="s">
        <v>4</v>
      </c>
      <c r="K38" s="129" t="str">
        <f>IF(F38="","Bitte ausfüllen!","")</f>
        <v>Bitte ausfüllen!</v>
      </c>
    </row>
    <row r="39" spans="1:11" x14ac:dyDescent="0.2">
      <c r="A39" s="126" t="s">
        <v>46</v>
      </c>
      <c r="B39" s="126" t="s">
        <v>47</v>
      </c>
      <c r="C39" s="126"/>
      <c r="D39" s="126"/>
      <c r="E39" s="126"/>
      <c r="F39" s="9"/>
      <c r="G39" s="126" t="s">
        <v>3</v>
      </c>
      <c r="H39" s="133" t="str">
        <f>IF(F39="","",ROUND(F39/100*$H$5,2))</f>
        <v/>
      </c>
      <c r="I39" s="126" t="s">
        <v>4</v>
      </c>
      <c r="K39" s="129" t="str">
        <f>IF(F39="","Bitte ausfüllen!","")</f>
        <v>Bitte ausfüllen!</v>
      </c>
    </row>
    <row r="40" spans="1:11" x14ac:dyDescent="0.2">
      <c r="A40" s="126" t="s">
        <v>48</v>
      </c>
      <c r="B40" s="126" t="s">
        <v>49</v>
      </c>
      <c r="C40" s="126"/>
      <c r="D40" s="126"/>
      <c r="E40" s="126"/>
      <c r="F40" s="9"/>
      <c r="G40" s="126" t="s">
        <v>3</v>
      </c>
      <c r="H40" s="133" t="str">
        <f>IF(F40="","",ROUND(F40/100*$H$5,2))</f>
        <v/>
      </c>
      <c r="I40" s="126" t="s">
        <v>4</v>
      </c>
      <c r="K40" s="129" t="str">
        <f>IF(F40="","Bitte ausfüllen!","")</f>
        <v>Bitte ausfüllen!</v>
      </c>
    </row>
    <row r="41" spans="1:11" x14ac:dyDescent="0.2">
      <c r="A41" s="126" t="s">
        <v>50</v>
      </c>
      <c r="B41" s="126" t="s">
        <v>51</v>
      </c>
      <c r="C41" s="126"/>
      <c r="D41" s="126"/>
      <c r="E41" s="126"/>
      <c r="F41" s="9"/>
      <c r="G41" s="126" t="s">
        <v>3</v>
      </c>
      <c r="H41" s="133" t="str">
        <f>IF(F41="","",ROUND(F41/100*$H$5,2))</f>
        <v/>
      </c>
      <c r="I41" s="126" t="s">
        <v>4</v>
      </c>
      <c r="K41" s="129" t="str">
        <f>IF(F41="","Bitte ausfüllen!","")</f>
        <v>Bitte ausfüllen!</v>
      </c>
    </row>
    <row r="42" spans="1:11" ht="25.5" customHeight="1" x14ac:dyDescent="0.2">
      <c r="A42" s="127"/>
      <c r="B42" s="212" t="s">
        <v>52</v>
      </c>
      <c r="C42" s="212"/>
      <c r="D42" s="127"/>
      <c r="E42" s="127"/>
      <c r="F42" s="134">
        <f>IF(SUM(F38:F41)=0,0,SUM(F38:F41))</f>
        <v>0</v>
      </c>
      <c r="G42" s="127" t="s">
        <v>3</v>
      </c>
      <c r="H42" s="135" t="str">
        <f>IF(COUNTIF(H38:H41,"")&gt;0,"",SUM(H38:H41))</f>
        <v/>
      </c>
      <c r="I42" s="127" t="s">
        <v>4</v>
      </c>
      <c r="K42" s="129" t="str">
        <f>IF(H42="","Angaben offen!","")</f>
        <v>Angaben offen!</v>
      </c>
    </row>
    <row r="43" spans="1:11" x14ac:dyDescent="0.2">
      <c r="A43" s="126"/>
      <c r="B43" s="126"/>
      <c r="C43" s="126"/>
      <c r="D43" s="126"/>
      <c r="E43" s="126"/>
      <c r="F43" s="130"/>
      <c r="G43" s="126"/>
      <c r="H43" s="130"/>
      <c r="I43" s="126"/>
    </row>
    <row r="44" spans="1:11" x14ac:dyDescent="0.2">
      <c r="A44" s="127" t="s">
        <v>53</v>
      </c>
      <c r="B44" s="127" t="s">
        <v>54</v>
      </c>
      <c r="C44" s="127"/>
      <c r="D44" s="127"/>
      <c r="E44" s="127"/>
      <c r="F44" s="127"/>
      <c r="G44" s="127"/>
      <c r="H44" s="127"/>
      <c r="I44" s="127"/>
    </row>
    <row r="45" spans="1:11" x14ac:dyDescent="0.2">
      <c r="A45" s="126" t="s">
        <v>55</v>
      </c>
      <c r="B45" s="126" t="s">
        <v>56</v>
      </c>
      <c r="C45" s="126"/>
      <c r="D45" s="126"/>
      <c r="E45" s="126"/>
      <c r="F45" s="126"/>
      <c r="G45" s="126"/>
      <c r="H45" s="126"/>
      <c r="I45" s="126"/>
    </row>
    <row r="46" spans="1:11" x14ac:dyDescent="0.2">
      <c r="A46" s="126" t="s">
        <v>57</v>
      </c>
      <c r="B46" s="126"/>
      <c r="C46" s="126" t="s">
        <v>58</v>
      </c>
      <c r="D46" s="126"/>
      <c r="E46" s="126"/>
      <c r="F46" s="9"/>
      <c r="G46" s="126" t="s">
        <v>3</v>
      </c>
      <c r="H46" s="133" t="str">
        <f>IF(F46="","",ROUND(F46/100*$H$5,2))</f>
        <v/>
      </c>
      <c r="I46" s="126" t="s">
        <v>4</v>
      </c>
      <c r="K46" s="129" t="str">
        <f>IF(F46="","Bitte ausfüllen!","")</f>
        <v>Bitte ausfüllen!</v>
      </c>
    </row>
    <row r="47" spans="1:11" x14ac:dyDescent="0.2">
      <c r="A47" s="126" t="s">
        <v>59</v>
      </c>
      <c r="B47" s="126"/>
      <c r="C47" s="126" t="s">
        <v>126</v>
      </c>
      <c r="D47" s="126"/>
      <c r="E47" s="126"/>
      <c r="F47" s="9"/>
      <c r="G47" s="126" t="s">
        <v>3</v>
      </c>
      <c r="H47" s="133" t="str">
        <f>IF(F47="","",ROUND(F47/100*$H$5,2))</f>
        <v/>
      </c>
      <c r="I47" s="126" t="s">
        <v>4</v>
      </c>
      <c r="K47" s="129" t="str">
        <f>IF(F47="","Bitte ausfüllen!","")</f>
        <v>Bitte ausfüllen!</v>
      </c>
    </row>
    <row r="48" spans="1:11" x14ac:dyDescent="0.2">
      <c r="A48" s="126" t="s">
        <v>60</v>
      </c>
      <c r="B48" s="126" t="s">
        <v>61</v>
      </c>
      <c r="C48" s="126"/>
      <c r="D48" s="126"/>
      <c r="E48" s="126"/>
      <c r="F48" s="9"/>
      <c r="G48" s="126" t="s">
        <v>3</v>
      </c>
      <c r="H48" s="133" t="str">
        <f>IF(F48="","",ROUND(F48/100*$H$5,2))</f>
        <v/>
      </c>
      <c r="I48" s="126" t="s">
        <v>4</v>
      </c>
      <c r="K48" s="129" t="str">
        <f>IF(F48="","Bitte ausfüllen!","")</f>
        <v>Bitte ausfüllen!</v>
      </c>
    </row>
    <row r="49" spans="1:11" x14ac:dyDescent="0.2">
      <c r="A49" s="126" t="s">
        <v>62</v>
      </c>
      <c r="B49" s="126" t="s">
        <v>63</v>
      </c>
      <c r="C49" s="126"/>
      <c r="D49" s="126"/>
      <c r="E49" s="126"/>
      <c r="F49" s="126"/>
      <c r="G49" s="126"/>
      <c r="H49" s="126"/>
      <c r="I49" s="126"/>
    </row>
    <row r="50" spans="1:11" x14ac:dyDescent="0.2">
      <c r="A50" s="126" t="s">
        <v>64</v>
      </c>
      <c r="B50" s="126"/>
      <c r="C50" s="126" t="s">
        <v>65</v>
      </c>
      <c r="D50" s="126"/>
      <c r="E50" s="126"/>
      <c r="F50" s="9"/>
      <c r="G50" s="126" t="s">
        <v>3</v>
      </c>
      <c r="H50" s="133" t="str">
        <f t="shared" ref="H50:H56" si="8">IF(F50="","",ROUND(F50/100*$H$5,2))</f>
        <v/>
      </c>
      <c r="I50" s="126" t="s">
        <v>4</v>
      </c>
      <c r="K50" s="129" t="str">
        <f t="shared" ref="K50:K56" si="9">IF(F50="","Bitte ausfüllen!","")</f>
        <v>Bitte ausfüllen!</v>
      </c>
    </row>
    <row r="51" spans="1:11" x14ac:dyDescent="0.2">
      <c r="A51" s="126" t="s">
        <v>66</v>
      </c>
      <c r="B51" s="126"/>
      <c r="C51" s="126" t="s">
        <v>67</v>
      </c>
      <c r="D51" s="126"/>
      <c r="E51" s="126"/>
      <c r="F51" s="9"/>
      <c r="G51" s="126" t="s">
        <v>3</v>
      </c>
      <c r="H51" s="133" t="str">
        <f t="shared" si="8"/>
        <v/>
      </c>
      <c r="I51" s="126" t="s">
        <v>4</v>
      </c>
      <c r="K51" s="129" t="str">
        <f t="shared" si="9"/>
        <v>Bitte ausfüllen!</v>
      </c>
    </row>
    <row r="52" spans="1:11" x14ac:dyDescent="0.2">
      <c r="A52" s="126" t="s">
        <v>68</v>
      </c>
      <c r="B52" s="126" t="s">
        <v>69</v>
      </c>
      <c r="C52" s="126"/>
      <c r="D52" s="126"/>
      <c r="E52" s="126"/>
      <c r="F52" s="9"/>
      <c r="G52" s="126" t="s">
        <v>3</v>
      </c>
      <c r="H52" s="133" t="str">
        <f t="shared" si="8"/>
        <v/>
      </c>
      <c r="I52" s="126" t="s">
        <v>4</v>
      </c>
      <c r="K52" s="129" t="str">
        <f t="shared" si="9"/>
        <v>Bitte ausfüllen!</v>
      </c>
    </row>
    <row r="53" spans="1:11" x14ac:dyDescent="0.2">
      <c r="A53" s="126" t="s">
        <v>70</v>
      </c>
      <c r="B53" s="126" t="s">
        <v>71</v>
      </c>
      <c r="C53" s="126"/>
      <c r="D53" s="126"/>
      <c r="E53" s="126"/>
      <c r="F53" s="9"/>
      <c r="G53" s="126" t="s">
        <v>3</v>
      </c>
      <c r="H53" s="133" t="str">
        <f t="shared" si="8"/>
        <v/>
      </c>
      <c r="I53" s="126" t="s">
        <v>4</v>
      </c>
      <c r="K53" s="129" t="str">
        <f t="shared" si="9"/>
        <v>Bitte ausfüllen!</v>
      </c>
    </row>
    <row r="54" spans="1:11" x14ac:dyDescent="0.2">
      <c r="A54" s="126" t="s">
        <v>72</v>
      </c>
      <c r="B54" s="126" t="s">
        <v>73</v>
      </c>
      <c r="C54" s="126"/>
      <c r="D54" s="126"/>
      <c r="E54" s="126"/>
      <c r="F54" s="9"/>
      <c r="G54" s="126" t="s">
        <v>3</v>
      </c>
      <c r="H54" s="133" t="str">
        <f t="shared" si="8"/>
        <v/>
      </c>
      <c r="I54" s="126" t="s">
        <v>4</v>
      </c>
      <c r="K54" s="129" t="str">
        <f t="shared" si="9"/>
        <v>Bitte ausfüllen!</v>
      </c>
    </row>
    <row r="55" spans="1:11" x14ac:dyDescent="0.2">
      <c r="A55" s="126" t="s">
        <v>74</v>
      </c>
      <c r="B55" s="126" t="s">
        <v>75</v>
      </c>
      <c r="C55" s="126"/>
      <c r="D55" s="126"/>
      <c r="E55" s="126"/>
      <c r="F55" s="9"/>
      <c r="G55" s="126" t="s">
        <v>3</v>
      </c>
      <c r="H55" s="133" t="str">
        <f t="shared" si="8"/>
        <v/>
      </c>
      <c r="I55" s="126" t="s">
        <v>4</v>
      </c>
      <c r="K55" s="129" t="str">
        <f t="shared" si="9"/>
        <v>Bitte ausfüllen!</v>
      </c>
    </row>
    <row r="56" spans="1:11" x14ac:dyDescent="0.2">
      <c r="A56" s="126" t="s">
        <v>76</v>
      </c>
      <c r="B56" s="126" t="s">
        <v>77</v>
      </c>
      <c r="C56" s="126"/>
      <c r="D56" s="126"/>
      <c r="E56" s="126"/>
      <c r="F56" s="9"/>
      <c r="G56" s="126" t="s">
        <v>3</v>
      </c>
      <c r="H56" s="133" t="str">
        <f t="shared" si="8"/>
        <v/>
      </c>
      <c r="I56" s="126" t="s">
        <v>4</v>
      </c>
      <c r="K56" s="129" t="str">
        <f t="shared" si="9"/>
        <v>Bitte ausfüllen!</v>
      </c>
    </row>
    <row r="57" spans="1:11" ht="25.5" customHeight="1" x14ac:dyDescent="0.2">
      <c r="A57" s="127"/>
      <c r="B57" s="212" t="s">
        <v>78</v>
      </c>
      <c r="C57" s="212"/>
      <c r="D57" s="127"/>
      <c r="E57" s="127"/>
      <c r="F57" s="134">
        <f>IF(SUM(F45:F56)=0,0,SUM(F45:F56))</f>
        <v>0</v>
      </c>
      <c r="G57" s="127" t="s">
        <v>3</v>
      </c>
      <c r="H57" s="135" t="str">
        <f>IF(COUNTIF(H46:H56,"")&gt;1,"",SUM(H46:H56))</f>
        <v/>
      </c>
      <c r="I57" s="127" t="s">
        <v>4</v>
      </c>
      <c r="K57" s="129" t="str">
        <f>IF(H57="","Angaben offen!","")</f>
        <v>Angaben offen!</v>
      </c>
    </row>
    <row r="58" spans="1:11" x14ac:dyDescent="0.2">
      <c r="A58" s="126"/>
      <c r="B58" s="126"/>
      <c r="C58" s="126"/>
      <c r="D58" s="126"/>
      <c r="E58" s="126"/>
      <c r="F58" s="130"/>
      <c r="G58" s="126"/>
      <c r="H58" s="130"/>
      <c r="I58" s="126"/>
    </row>
    <row r="59" spans="1:11" x14ac:dyDescent="0.2">
      <c r="A59" s="127" t="s">
        <v>79</v>
      </c>
      <c r="B59" s="211" t="s">
        <v>80</v>
      </c>
      <c r="C59" s="211"/>
      <c r="D59" s="127"/>
      <c r="E59" s="127"/>
      <c r="F59" s="139">
        <f>IF(AND(F34=""),0,F34+F42+F57+F5)</f>
        <v>100</v>
      </c>
      <c r="G59" s="127" t="s">
        <v>3</v>
      </c>
      <c r="H59" s="131" t="str">
        <f>IF(H57="","",H34+H42+H57+H5)</f>
        <v/>
      </c>
      <c r="I59" s="127" t="s">
        <v>4</v>
      </c>
    </row>
    <row r="60" spans="1:11" x14ac:dyDescent="0.2">
      <c r="A60" s="127" t="s">
        <v>81</v>
      </c>
      <c r="B60" s="127" t="s">
        <v>82</v>
      </c>
      <c r="C60" s="127"/>
      <c r="D60" s="127"/>
      <c r="E60" s="127"/>
      <c r="F60" s="9"/>
      <c r="G60" s="127" t="s">
        <v>3</v>
      </c>
      <c r="H60" s="135" t="str">
        <f>IF(F60="","",ROUND(F60/100*H59,2))</f>
        <v/>
      </c>
      <c r="I60" s="127" t="s">
        <v>4</v>
      </c>
      <c r="K60" s="129" t="str">
        <f>IF(F60="","Bitte ausfüllen!","")</f>
        <v>Bitte ausfüllen!</v>
      </c>
    </row>
    <row r="61" spans="1:11" x14ac:dyDescent="0.2">
      <c r="A61" s="127"/>
      <c r="B61" s="127" t="s">
        <v>83</v>
      </c>
      <c r="C61" s="127"/>
      <c r="D61" s="127"/>
      <c r="E61" s="127"/>
      <c r="F61" s="134">
        <f ca="1">IF(H61="",0,H61/H5*100)</f>
        <v>0</v>
      </c>
      <c r="G61" s="127" t="s">
        <v>3</v>
      </c>
      <c r="H61" s="135" t="str">
        <f ca="1">IF(SUM(COUNTIF(INDIRECT({"H5","F9:F13","D17:D26","F27:F28","F32:F33","F38:F41","F46:F48","F50:F56","F60","H65:H68"}),""))&gt;0,"",H59+H60)</f>
        <v/>
      </c>
      <c r="I61" s="127" t="s">
        <v>4</v>
      </c>
      <c r="K61" s="129" t="str" cm="1">
        <f t="array" aca="1" ref="K61" ca="1">IF(SUM(COUNTIF(INDIRECT({"H5","F9:F13","D17:D26","F27:F28","F32:F33","F38:F41","F46:F48","F50:F56","F60","H65:H68","M3:P3"}),""))&gt;0,SUM(COUNTIF(INDIRECT({"H5","F9:F13","D17:D26","F27:F28","F32:F33","F38:F41","F46:F48","F50:F56","F60","H65:H68","M3:P3"}),"")) &amp;" Zelle(n) ohne Wert!","")</f>
        <v>28 Zelle(n) ohne Wert!</v>
      </c>
    </row>
    <row r="62" spans="1:11" x14ac:dyDescent="0.2">
      <c r="A62" s="126"/>
      <c r="B62" s="126" t="s">
        <v>84</v>
      </c>
      <c r="C62" s="126"/>
      <c r="D62" s="126"/>
      <c r="E62" s="126"/>
      <c r="F62" s="134">
        <f ca="1">IF(F61=0,0,F61-F5)</f>
        <v>0</v>
      </c>
      <c r="G62" s="126" t="s">
        <v>3</v>
      </c>
      <c r="H62" s="126"/>
      <c r="I62" s="126"/>
      <c r="K62" s="129" t="str">
        <f ca="1">IF(F62&lt;70,"Bitte prüfen gemäß Aufforderung!","")</f>
        <v>Bitte prüfen gemäß Aufforderung!</v>
      </c>
    </row>
    <row r="63" spans="1:11" x14ac:dyDescent="0.2">
      <c r="A63" s="126"/>
      <c r="B63" s="126"/>
      <c r="C63" s="126"/>
      <c r="D63" s="126"/>
      <c r="E63" s="126"/>
      <c r="F63" s="126"/>
      <c r="G63" s="126"/>
      <c r="H63" s="126"/>
      <c r="I63" s="126"/>
    </row>
    <row r="64" spans="1:11" x14ac:dyDescent="0.2">
      <c r="B64" s="127" t="s">
        <v>85</v>
      </c>
      <c r="D64" s="127"/>
      <c r="E64" s="127"/>
      <c r="G64" s="127"/>
      <c r="H64" s="131" t="s">
        <v>86</v>
      </c>
    </row>
    <row r="65" spans="1:11" x14ac:dyDescent="0.2">
      <c r="B65" s="126" t="s">
        <v>87</v>
      </c>
      <c r="D65" s="126"/>
      <c r="E65" s="126"/>
      <c r="G65" s="140"/>
      <c r="H65" s="10"/>
      <c r="K65" s="129" t="str">
        <f>IF(H65="","Bitte ausfüllen!","")</f>
        <v>Bitte ausfüllen!</v>
      </c>
    </row>
    <row r="66" spans="1:11" x14ac:dyDescent="0.2">
      <c r="B66" s="126" t="s">
        <v>88</v>
      </c>
      <c r="D66" s="126"/>
      <c r="E66" s="126"/>
      <c r="G66" s="140"/>
      <c r="H66" s="11"/>
      <c r="K66" s="129" t="str">
        <f>IF(H66="","Bitte ausfüllen!","")</f>
        <v>Bitte ausfüllen!</v>
      </c>
    </row>
    <row r="67" spans="1:11" x14ac:dyDescent="0.2">
      <c r="B67" s="126" t="s">
        <v>89</v>
      </c>
      <c r="D67" s="126"/>
      <c r="E67" s="126"/>
      <c r="G67" s="140"/>
      <c r="H67" s="12"/>
      <c r="K67" s="129" t="str">
        <f>IF(H67="","Bitte ausfüllen!","")</f>
        <v>Bitte ausfüllen!</v>
      </c>
    </row>
    <row r="68" spans="1:11" x14ac:dyDescent="0.2">
      <c r="B68" s="126" t="s">
        <v>90</v>
      </c>
      <c r="D68" s="126"/>
      <c r="E68" s="126"/>
      <c r="G68" s="140"/>
      <c r="H68" s="11"/>
      <c r="K68" s="129" t="str">
        <f>IF(H68="","Bitte ausfüllen!","")</f>
        <v>Bitte ausfüllen!</v>
      </c>
    </row>
    <row r="70" spans="1:11" x14ac:dyDescent="0.2">
      <c r="C70" s="90"/>
      <c r="D70" s="4"/>
    </row>
    <row r="71" spans="1:11" ht="15.95" customHeight="1" x14ac:dyDescent="0.2">
      <c r="A71" s="202" t="s">
        <v>231</v>
      </c>
      <c r="B71" s="202"/>
      <c r="C71" s="202"/>
      <c r="D71" s="202" t="s">
        <v>242</v>
      </c>
      <c r="F71" s="204" t="s">
        <v>139</v>
      </c>
      <c r="G71" s="205"/>
      <c r="H71" s="206"/>
    </row>
    <row r="72" spans="1:11" ht="15.95" customHeight="1" x14ac:dyDescent="0.2">
      <c r="A72" s="203"/>
      <c r="B72" s="203"/>
      <c r="C72" s="203"/>
      <c r="D72" s="203"/>
      <c r="F72" s="207"/>
      <c r="G72" s="208"/>
      <c r="H72" s="209"/>
      <c r="I72" s="127"/>
      <c r="J72" s="127"/>
      <c r="K72" s="127"/>
    </row>
    <row r="73" spans="1:11" ht="19.899999999999999" customHeight="1" x14ac:dyDescent="0.2">
      <c r="A73" s="213">
        <v>1</v>
      </c>
      <c r="B73" s="213"/>
      <c r="C73" s="14" t="s">
        <v>134</v>
      </c>
      <c r="D73" s="92">
        <v>7.3</v>
      </c>
      <c r="F73" s="214" t="s">
        <v>647</v>
      </c>
      <c r="G73" s="214"/>
      <c r="H73" s="214"/>
    </row>
    <row r="74" spans="1:11" ht="19.899999999999999" customHeight="1" x14ac:dyDescent="0.2">
      <c r="A74" s="213">
        <v>2</v>
      </c>
      <c r="B74" s="213"/>
      <c r="C74" s="14" t="s">
        <v>135</v>
      </c>
      <c r="D74" s="92">
        <v>9.3000000000000007</v>
      </c>
    </row>
    <row r="75" spans="1:11" ht="24" customHeight="1" x14ac:dyDescent="0.2">
      <c r="A75" s="213">
        <v>3</v>
      </c>
      <c r="B75" s="213"/>
      <c r="C75" s="14" t="s">
        <v>136</v>
      </c>
      <c r="D75" s="92">
        <v>1.3</v>
      </c>
    </row>
    <row r="76" spans="1:11" ht="24" customHeight="1" x14ac:dyDescent="0.2">
      <c r="A76" s="213">
        <v>4</v>
      </c>
      <c r="B76" s="213"/>
      <c r="C76" s="14" t="s">
        <v>137</v>
      </c>
      <c r="D76" s="92">
        <f>IF( F73="Sachsen",1.3,1.8)</f>
        <v>1.8</v>
      </c>
    </row>
    <row r="77" spans="1:11" ht="24" customHeight="1" x14ac:dyDescent="0.2">
      <c r="A77" s="213">
        <v>5</v>
      </c>
      <c r="B77" s="213"/>
      <c r="C77" s="14" t="s">
        <v>159</v>
      </c>
      <c r="D77" s="92"/>
    </row>
    <row r="78" spans="1:11" ht="24" customHeight="1" x14ac:dyDescent="0.2">
      <c r="A78" s="213">
        <v>6</v>
      </c>
      <c r="B78" s="213"/>
      <c r="C78" s="14" t="s">
        <v>124</v>
      </c>
      <c r="D78" s="92"/>
    </row>
    <row r="79" spans="1:11" ht="24" customHeight="1" x14ac:dyDescent="0.2">
      <c r="A79" s="213">
        <v>7</v>
      </c>
      <c r="B79" s="213"/>
      <c r="C79" s="14" t="s">
        <v>138</v>
      </c>
      <c r="D79" s="92">
        <v>0.15</v>
      </c>
    </row>
  </sheetData>
  <sheetProtection algorithmName="SHA-512" hashValue="oDy8xRGWE5znPWxjH2/+TPY9zWJ4Fw+8M6IELbN74h8ULzsyBiwP2OPCsL4uMW14It9J3eu0iBhxpap56qJARg==" saltValue="UPSqDhvzQvSG3u92ymNOrA==" spinCount="100000" sheet="1" objects="1" scenarios="1"/>
  <mergeCells count="18">
    <mergeCell ref="A79:B79"/>
    <mergeCell ref="A73:B73"/>
    <mergeCell ref="F73:H73"/>
    <mergeCell ref="A74:B74"/>
    <mergeCell ref="A75:B75"/>
    <mergeCell ref="A76:B76"/>
    <mergeCell ref="A77:B77"/>
    <mergeCell ref="A78:B78"/>
    <mergeCell ref="A71:C72"/>
    <mergeCell ref="D71:D72"/>
    <mergeCell ref="F71:H72"/>
    <mergeCell ref="B57:C57"/>
    <mergeCell ref="B59:C59"/>
    <mergeCell ref="E1:H2"/>
    <mergeCell ref="A3:I3"/>
    <mergeCell ref="B29:C29"/>
    <mergeCell ref="B34:C34"/>
    <mergeCell ref="B42:C42"/>
  </mergeCells>
  <dataValidations count="1">
    <dataValidation type="decimal" errorStyle="warning" allowBlank="1" showInputMessage="1" showErrorMessage="1" error="Bitte überprüfen Sie Ihre Eingaben." sqref="C25" xr:uid="{00000000-0002-0000-0600-000000000000}">
      <formula1>8.5</formula1>
      <formula2>84</formula2>
    </dataValidation>
  </dataValidations>
  <hyperlinks>
    <hyperlink ref="M1" location="Inhaltsverzeichnis!A1" display="Zurück zum Inhaltsverzeichnis" xr:uid="{00000000-0004-0000-0600-000000000000}"/>
  </hyperlinks>
  <printOptions horizontalCentered="1"/>
  <pageMargins left="0.78740157480314965" right="0.78740157480314965" top="0.98425196850393704" bottom="0.98425196850393704" header="0.51181102362204722" footer="0.51181102362204722"/>
  <pageSetup paperSize="9" scale="63" fitToWidth="0" fitToHeight="0" orientation="portrait" r:id="rId1"/>
  <headerFooter alignWithMargins="0">
    <oddFooter>&amp;C&amp;P von &amp;N</oddFooter>
  </headerFooter>
  <colBreaks count="1" manualBreakCount="1">
    <brk id="11" max="78"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9" r:id="rId4" name="Check Box 3">
              <controlPr defaultSize="0" autoFill="0" autoLine="0" autoPict="0" altText="Hinweis">
                <anchor moveWithCells="1">
                  <from>
                    <xdr:col>2</xdr:col>
                    <xdr:colOff>2905125</xdr:colOff>
                    <xdr:row>0</xdr:row>
                    <xdr:rowOff>142875</xdr:rowOff>
                  </from>
                  <to>
                    <xdr:col>3</xdr:col>
                    <xdr:colOff>542925</xdr:colOff>
                    <xdr:row>1</xdr:row>
                    <xdr:rowOff>0</xdr:rowOff>
                  </to>
                </anchor>
              </controlPr>
            </control>
          </mc:Choice>
        </mc:AlternateContent>
        <mc:AlternateContent xmlns:mc="http://schemas.openxmlformats.org/markup-compatibility/2006">
          <mc:Choice Requires="x14">
            <control shapeId="29700" r:id="rId5" name="Check Box 4">
              <controlPr defaultSize="0" autoFill="0" autoLine="0" autoPict="0" altText="Hinweis">
                <anchor moveWithCells="1">
                  <from>
                    <xdr:col>2</xdr:col>
                    <xdr:colOff>2905125</xdr:colOff>
                    <xdr:row>1</xdr:row>
                    <xdr:rowOff>19050</xdr:rowOff>
                  </from>
                  <to>
                    <xdr:col>3</xdr:col>
                    <xdr:colOff>542925</xdr:colOff>
                    <xdr:row>1</xdr:row>
                    <xdr:rowOff>304800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BF394-30BF-4635-BEE0-67301A184F13}">
  <sheetPr>
    <tabColor indexed="13"/>
  </sheetPr>
  <dimension ref="A1:V79"/>
  <sheetViews>
    <sheetView showGridLines="0" zoomScaleNormal="100" zoomScaleSheetLayoutView="85" workbookViewId="0"/>
  </sheetViews>
  <sheetFormatPr baseColWidth="10" defaultColWidth="11.42578125" defaultRowHeight="10.5" x14ac:dyDescent="0.2"/>
  <cols>
    <col min="1" max="1" width="6.42578125" style="3" customWidth="1"/>
    <col min="2" max="2" width="2.7109375" style="3" customWidth="1"/>
    <col min="3" max="3" width="45.5703125" style="3" customWidth="1"/>
    <col min="4" max="4" width="8.85546875" style="3" customWidth="1"/>
    <col min="5" max="5" width="2.5703125" style="3" customWidth="1"/>
    <col min="6" max="6" width="11.42578125" style="3"/>
    <col min="7" max="7" width="2.85546875" style="3" customWidth="1"/>
    <col min="8" max="8" width="11.42578125" style="3"/>
    <col min="9" max="9" width="2.7109375" style="3" bestFit="1" customWidth="1"/>
    <col min="10" max="10" width="1.28515625" style="3" customWidth="1"/>
    <col min="11" max="11" width="41.28515625" style="3" customWidth="1"/>
    <col min="12" max="12" width="62.28515625" style="7" customWidth="1"/>
    <col min="13" max="16" width="12.42578125" style="7" customWidth="1"/>
    <col min="17" max="16384" width="11.42578125" style="3"/>
  </cols>
  <sheetData>
    <row r="1" spans="1:16" ht="34.15" customHeight="1" x14ac:dyDescent="0.2">
      <c r="A1" s="125" t="str">
        <f ca="1">IF(H61&lt;&gt;"","","Bitte alle gelben Zellen ausfüllen.")</f>
        <v>Bitte alle gelben Zellen ausfüllen.</v>
      </c>
      <c r="D1" s="23" t="b">
        <v>0</v>
      </c>
      <c r="E1" s="192" t="str">
        <f>IF(D1=TRUE,"Alle gelben Zellen ausfüllen. Nichtbenötigte Positionen eindeutig mit 0 kennzeichnen.",IF(D2=TRUE,
"Die rot markierten Informationen sind nur zur Unterstützung. Sie zeigen an, wenn gelbe Zellen in dieser Tabelle nicht ausgefüllt sind. "&amp;
"Wenn keine rote Schrift mehr angezeigt wird, ist alles ausgefüllt.",""))</f>
        <v/>
      </c>
      <c r="F1" s="192"/>
      <c r="G1" s="192"/>
      <c r="H1" s="192"/>
      <c r="L1" s="3"/>
      <c r="M1" s="5" t="s">
        <v>100</v>
      </c>
    </row>
    <row r="2" spans="1:16" ht="41.25" customHeight="1" x14ac:dyDescent="0.2">
      <c r="A2" s="3" t="s">
        <v>105</v>
      </c>
      <c r="C2" s="4" t="str">
        <f>IF(Inhaltsverzeichnis!$C$3="", "",Inhaltsverzeichnis!$C$3)</f>
        <v/>
      </c>
      <c r="D2" s="23" t="b">
        <v>0</v>
      </c>
      <c r="E2" s="192"/>
      <c r="F2" s="192"/>
      <c r="G2" s="192"/>
      <c r="H2" s="192"/>
    </row>
    <row r="3" spans="1:16" ht="12.75" x14ac:dyDescent="0.2">
      <c r="A3" s="210" t="s">
        <v>634</v>
      </c>
      <c r="B3" s="210"/>
      <c r="C3" s="210"/>
      <c r="D3" s="210"/>
      <c r="E3" s="210"/>
      <c r="F3" s="210"/>
      <c r="G3" s="210"/>
      <c r="H3" s="210"/>
      <c r="I3" s="210"/>
      <c r="L3" s="142" t="s">
        <v>142</v>
      </c>
      <c r="M3" s="52">
        <v>30</v>
      </c>
      <c r="N3" s="52">
        <v>80</v>
      </c>
      <c r="O3" s="52">
        <v>200</v>
      </c>
      <c r="P3" s="52">
        <v>200</v>
      </c>
    </row>
    <row r="4" spans="1:16" x14ac:dyDescent="0.2">
      <c r="A4" s="126"/>
      <c r="B4" s="126"/>
      <c r="C4" s="126"/>
      <c r="D4" s="126"/>
      <c r="E4" s="126"/>
      <c r="F4" s="126"/>
      <c r="G4" s="126"/>
      <c r="H4" s="126"/>
      <c r="I4" s="126"/>
      <c r="L4" s="143" t="s">
        <v>143</v>
      </c>
      <c r="M4" s="53">
        <v>25</v>
      </c>
      <c r="N4" s="54">
        <v>50</v>
      </c>
      <c r="O4" s="54">
        <v>150</v>
      </c>
      <c r="P4" s="54">
        <v>125</v>
      </c>
    </row>
    <row r="5" spans="1:16" ht="31.5" x14ac:dyDescent="0.2">
      <c r="A5" s="127" t="s">
        <v>1</v>
      </c>
      <c r="B5" s="127" t="s">
        <v>2</v>
      </c>
      <c r="C5" s="127"/>
      <c r="D5" s="127"/>
      <c r="E5" s="127"/>
      <c r="F5" s="128">
        <v>100</v>
      </c>
      <c r="G5" s="127" t="s">
        <v>3</v>
      </c>
      <c r="H5" s="8">
        <v>15.67</v>
      </c>
      <c r="I5" s="127" t="s">
        <v>4</v>
      </c>
      <c r="K5" s="144" t="str">
        <f ca="1">IF(H5="","Bitte ausfüllen!",IF(H61="","Der voreingetragene produktive Stundenlohn ist eine Mindestanforderung. Inhalt der gelben Zellen kann angepasst werden.",""))</f>
        <v>Der voreingetragene produktive Stundenlohn ist eine Mindestanforderung. Inhalt der gelben Zellen kann angepasst werden.</v>
      </c>
      <c r="L5" s="142"/>
      <c r="M5" s="145" t="s">
        <v>144</v>
      </c>
      <c r="N5" s="145" t="s">
        <v>232</v>
      </c>
      <c r="O5" s="145" t="s">
        <v>157</v>
      </c>
      <c r="P5" s="145" t="s">
        <v>233</v>
      </c>
    </row>
    <row r="6" spans="1:16" x14ac:dyDescent="0.2">
      <c r="A6" s="126"/>
      <c r="B6" s="126"/>
      <c r="C6" s="126"/>
      <c r="D6" s="126"/>
      <c r="E6" s="126"/>
      <c r="F6" s="130"/>
      <c r="G6" s="126"/>
      <c r="H6" s="130"/>
      <c r="I6" s="126"/>
      <c r="L6" s="142"/>
      <c r="M6" s="146" t="s">
        <v>4</v>
      </c>
      <c r="N6" s="146" t="s">
        <v>4</v>
      </c>
      <c r="O6" s="146" t="s">
        <v>4</v>
      </c>
      <c r="P6" s="146" t="s">
        <v>4</v>
      </c>
    </row>
    <row r="7" spans="1:16" x14ac:dyDescent="0.2">
      <c r="A7" s="127" t="s">
        <v>5</v>
      </c>
      <c r="B7" s="127" t="s">
        <v>6</v>
      </c>
      <c r="C7" s="127"/>
      <c r="D7" s="127"/>
      <c r="E7" s="127"/>
      <c r="F7" s="131"/>
      <c r="G7" s="127"/>
      <c r="H7" s="131"/>
      <c r="I7" s="127"/>
      <c r="L7" s="143" t="s">
        <v>145</v>
      </c>
      <c r="M7" s="147" t="str">
        <f ca="1">IF($H$61="","",ROUND(M3/100*$H$5,2))</f>
        <v/>
      </c>
      <c r="N7" s="147" t="str">
        <f ca="1">IF($H$61="","",ROUND(N3/100*$H$5,2))</f>
        <v/>
      </c>
      <c r="O7" s="147" t="str">
        <f ca="1">IF($H$61="","",ROUND(O3/100*$H$5,2))</f>
        <v/>
      </c>
      <c r="P7" s="147" t="str">
        <f ca="1">IF($H$61="","",ROUND(P3/100*$H$5,2))</f>
        <v/>
      </c>
    </row>
    <row r="8" spans="1:16" ht="14.25" x14ac:dyDescent="0.2">
      <c r="A8" s="126" t="s">
        <v>7</v>
      </c>
      <c r="B8" s="126" t="s">
        <v>8</v>
      </c>
      <c r="C8" s="126"/>
      <c r="D8" s="126"/>
      <c r="E8" s="126"/>
      <c r="F8" s="131"/>
      <c r="G8" s="131"/>
      <c r="H8" s="131"/>
      <c r="I8" s="131"/>
      <c r="K8" s="132"/>
      <c r="L8" s="142"/>
      <c r="M8" s="143"/>
      <c r="N8" s="143"/>
      <c r="O8" s="143"/>
      <c r="P8" s="143"/>
    </row>
    <row r="9" spans="1:16" x14ac:dyDescent="0.2">
      <c r="A9" s="126" t="s">
        <v>9</v>
      </c>
      <c r="B9" s="126"/>
      <c r="C9" s="126" t="s">
        <v>10</v>
      </c>
      <c r="D9" s="126"/>
      <c r="E9" s="126"/>
      <c r="F9" s="9"/>
      <c r="G9" s="126" t="s">
        <v>3</v>
      </c>
      <c r="H9" s="133" t="str">
        <f>IF(F9="","",ROUND(F9/100*$H$5,2))</f>
        <v/>
      </c>
      <c r="I9" s="126" t="s">
        <v>4</v>
      </c>
      <c r="K9" s="129" t="str">
        <f>IF(F9="","Bitte ausfüllen!","")</f>
        <v>Bitte ausfüllen!</v>
      </c>
      <c r="L9" s="143" t="s">
        <v>146</v>
      </c>
      <c r="M9" s="147">
        <f>$H$5*(M4/100)</f>
        <v>3.9175</v>
      </c>
      <c r="N9" s="147">
        <f>$H$5*(N4/100)</f>
        <v>7.835</v>
      </c>
      <c r="O9" s="147">
        <f>$H$5*(O4/100)</f>
        <v>23.504999999999999</v>
      </c>
      <c r="P9" s="147">
        <f>$H$5*(P4/100)</f>
        <v>19.587499999999999</v>
      </c>
    </row>
    <row r="10" spans="1:16" x14ac:dyDescent="0.2">
      <c r="A10" s="126" t="s">
        <v>11</v>
      </c>
      <c r="B10" s="126"/>
      <c r="C10" s="126" t="s">
        <v>12</v>
      </c>
      <c r="D10" s="126"/>
      <c r="E10" s="126"/>
      <c r="F10" s="9"/>
      <c r="G10" s="126" t="s">
        <v>3</v>
      </c>
      <c r="H10" s="133" t="str">
        <f>IF(F10="","",ROUND(F10/100*$H$5,2))</f>
        <v/>
      </c>
      <c r="I10" s="126" t="s">
        <v>4</v>
      </c>
      <c r="K10" s="129" t="str">
        <f>IF(F10="","Bitte ausfüllen!","")</f>
        <v>Bitte ausfüllen!</v>
      </c>
      <c r="L10" s="143" t="s">
        <v>147</v>
      </c>
      <c r="M10" s="148" t="str">
        <f ca="1">IF(M7="","",M7-M9)</f>
        <v/>
      </c>
      <c r="N10" s="148" t="str">
        <f ca="1">IF(N7="","",N7-N9)</f>
        <v/>
      </c>
      <c r="O10" s="148" t="str">
        <f ca="1">IF(O7="","",O7-O9)</f>
        <v/>
      </c>
      <c r="P10" s="148" t="str">
        <f ca="1">IF(P7="","",P7-P9)</f>
        <v/>
      </c>
    </row>
    <row r="11" spans="1:16" x14ac:dyDescent="0.2">
      <c r="A11" s="126" t="s">
        <v>13</v>
      </c>
      <c r="B11" s="126"/>
      <c r="C11" s="126" t="s">
        <v>14</v>
      </c>
      <c r="D11" s="126"/>
      <c r="E11" s="126"/>
      <c r="F11" s="9"/>
      <c r="G11" s="126" t="s">
        <v>3</v>
      </c>
      <c r="H11" s="133" t="str">
        <f>IF(F11="","",ROUND(F11/100*$H$5,2))</f>
        <v/>
      </c>
      <c r="I11" s="126" t="s">
        <v>4</v>
      </c>
      <c r="K11" s="129" t="str">
        <f>IF(F11="","Bitte ausfüllen!","")</f>
        <v>Bitte ausfüllen!</v>
      </c>
      <c r="L11" s="143"/>
      <c r="M11" s="143"/>
      <c r="N11" s="143"/>
      <c r="O11" s="143"/>
      <c r="P11" s="143"/>
    </row>
    <row r="12" spans="1:16" x14ac:dyDescent="0.2">
      <c r="A12" s="126" t="s">
        <v>15</v>
      </c>
      <c r="B12" s="126"/>
      <c r="C12" s="126" t="s">
        <v>16</v>
      </c>
      <c r="D12" s="126"/>
      <c r="E12" s="126"/>
      <c r="F12" s="9"/>
      <c r="G12" s="126" t="s">
        <v>3</v>
      </c>
      <c r="H12" s="133" t="str">
        <f>IF(F12="","",ROUND(F12/100*$H$5,2))</f>
        <v/>
      </c>
      <c r="I12" s="126" t="s">
        <v>4</v>
      </c>
      <c r="K12" s="129" t="str">
        <f>IF(F12="","Bitte ausfüllen!","")</f>
        <v>Bitte ausfüllen!</v>
      </c>
      <c r="L12" s="143" t="s">
        <v>148</v>
      </c>
      <c r="M12" s="147" t="str">
        <f ca="1">IF(M10="","",$D17%*M$10)</f>
        <v/>
      </c>
      <c r="N12" s="147" t="str">
        <f ca="1">IF(N10="","",$D17%*N$10)</f>
        <v/>
      </c>
      <c r="O12" s="147" t="str">
        <f ca="1">IF(O10="","",$D17%*O$10)</f>
        <v/>
      </c>
      <c r="P12" s="147" t="str">
        <f ca="1">IF(P10="","",$D17%*P$10)</f>
        <v/>
      </c>
    </row>
    <row r="13" spans="1:16" x14ac:dyDescent="0.2">
      <c r="A13" s="126" t="s">
        <v>17</v>
      </c>
      <c r="B13" s="126"/>
      <c r="C13" s="126" t="s">
        <v>18</v>
      </c>
      <c r="D13" s="126"/>
      <c r="E13" s="126"/>
      <c r="F13" s="9"/>
      <c r="G13" s="126" t="s">
        <v>3</v>
      </c>
      <c r="H13" s="133" t="str">
        <f>IF(F13="","",ROUND(F13/100*$H$5,2))</f>
        <v/>
      </c>
      <c r="I13" s="126" t="s">
        <v>4</v>
      </c>
      <c r="K13" s="129" t="str">
        <f>IF(F13="","Bitte ausfüllen!","")</f>
        <v>Bitte ausfüllen!</v>
      </c>
      <c r="L13" s="143" t="s">
        <v>23</v>
      </c>
      <c r="M13" s="147" t="str">
        <f ca="1">IF(M12="","",$D18%*M$10)</f>
        <v/>
      </c>
      <c r="N13" s="147" t="str">
        <f ca="1">IF(N12="","",$D18%*N$10)</f>
        <v/>
      </c>
      <c r="O13" s="147" t="str">
        <f ca="1">IF(O12="","",$D18%*O$10)</f>
        <v/>
      </c>
      <c r="P13" s="147" t="str">
        <f ca="1">IF(P12="","",$D18%*P$10)</f>
        <v/>
      </c>
    </row>
    <row r="14" spans="1:16" x14ac:dyDescent="0.2">
      <c r="A14" s="127"/>
      <c r="B14" s="127" t="s">
        <v>19</v>
      </c>
      <c r="C14" s="127"/>
      <c r="D14" s="127"/>
      <c r="E14" s="127"/>
      <c r="F14" s="134">
        <f>IF(SUM(F9:F13)=0,0,SUM(F9:F13))</f>
        <v>0</v>
      </c>
      <c r="G14" s="127" t="s">
        <v>3</v>
      </c>
      <c r="H14" s="135" t="str">
        <f>IF(COUNTIF(F9:F13,"")&gt;0,"",SUM(H8:H13))</f>
        <v/>
      </c>
      <c r="I14" s="127" t="s">
        <v>4</v>
      </c>
      <c r="K14" s="129" t="str">
        <f>IF(H14="","Angaben offen!","")</f>
        <v>Angaben offen!</v>
      </c>
      <c r="L14" s="143" t="s">
        <v>149</v>
      </c>
      <c r="M14" s="147" t="str">
        <f t="shared" ref="M14:P21" ca="1" si="0">IF(M13="","",$D19%*M$10)</f>
        <v/>
      </c>
      <c r="N14" s="147" t="str">
        <f t="shared" ca="1" si="0"/>
        <v/>
      </c>
      <c r="O14" s="147" t="str">
        <f t="shared" ca="1" si="0"/>
        <v/>
      </c>
      <c r="P14" s="147" t="str">
        <f t="shared" ca="1" si="0"/>
        <v/>
      </c>
    </row>
    <row r="15" spans="1:16" x14ac:dyDescent="0.2">
      <c r="A15" s="126"/>
      <c r="B15" s="126"/>
      <c r="C15" s="126"/>
      <c r="D15" s="126"/>
      <c r="E15" s="126"/>
      <c r="F15" s="130"/>
      <c r="G15" s="126"/>
      <c r="H15" s="130"/>
      <c r="I15" s="126"/>
      <c r="L15" s="143" t="s">
        <v>25</v>
      </c>
      <c r="M15" s="147" t="str">
        <f t="shared" ca="1" si="0"/>
        <v/>
      </c>
      <c r="N15" s="147" t="str">
        <f t="shared" ca="1" si="0"/>
        <v/>
      </c>
      <c r="O15" s="147" t="str">
        <f t="shared" ca="1" si="0"/>
        <v/>
      </c>
      <c r="P15" s="147" t="str">
        <f t="shared" ca="1" si="0"/>
        <v/>
      </c>
    </row>
    <row r="16" spans="1:16" x14ac:dyDescent="0.2">
      <c r="A16" s="127" t="s">
        <v>20</v>
      </c>
      <c r="B16" s="127" t="s">
        <v>21</v>
      </c>
      <c r="C16" s="127"/>
      <c r="D16" s="127"/>
      <c r="E16" s="127"/>
      <c r="F16" s="131"/>
      <c r="G16" s="127"/>
      <c r="H16" s="131"/>
      <c r="I16" s="127"/>
      <c r="L16" s="143" t="s">
        <v>150</v>
      </c>
      <c r="M16" s="147" t="str">
        <f t="shared" ca="1" si="0"/>
        <v/>
      </c>
      <c r="N16" s="147" t="str">
        <f t="shared" ca="1" si="0"/>
        <v/>
      </c>
      <c r="O16" s="147" t="str">
        <f t="shared" ca="1" si="0"/>
        <v/>
      </c>
      <c r="P16" s="147" t="str">
        <f t="shared" ca="1" si="0"/>
        <v/>
      </c>
    </row>
    <row r="17" spans="1:22" ht="11.25" x14ac:dyDescent="0.2">
      <c r="A17" s="126" t="s">
        <v>22</v>
      </c>
      <c r="B17" s="126" t="s">
        <v>127</v>
      </c>
      <c r="C17" s="126"/>
      <c r="D17" s="9">
        <f>D73</f>
        <v>7.3</v>
      </c>
      <c r="E17" s="126" t="s">
        <v>3</v>
      </c>
      <c r="F17" s="130"/>
      <c r="G17" s="126"/>
      <c r="H17" s="130"/>
      <c r="I17" s="126"/>
      <c r="K17" s="129" t="str">
        <f ca="1">IF(D17&lt;D73,"Wert prüfen!",IF(H61="","Inhalt der gelben Zellen kann angepasst werden.",""))</f>
        <v>Inhalt der gelben Zellen kann angepasst werden.</v>
      </c>
      <c r="L17" s="143" t="s">
        <v>27</v>
      </c>
      <c r="M17" s="147" t="str">
        <f t="shared" ca="1" si="0"/>
        <v/>
      </c>
      <c r="N17" s="147" t="str">
        <f t="shared" ca="1" si="0"/>
        <v/>
      </c>
      <c r="O17" s="147" t="str">
        <f t="shared" ca="1" si="0"/>
        <v/>
      </c>
      <c r="P17" s="147" t="str">
        <f t="shared" ca="1" si="0"/>
        <v/>
      </c>
    </row>
    <row r="18" spans="1:22" x14ac:dyDescent="0.2">
      <c r="A18" s="126"/>
      <c r="B18" s="126" t="s">
        <v>23</v>
      </c>
      <c r="C18" s="126"/>
      <c r="D18" s="136">
        <f>(D17/100)*$F$14</f>
        <v>0</v>
      </c>
      <c r="E18" s="126" t="s">
        <v>3</v>
      </c>
      <c r="F18" s="137">
        <f>IF(D18="","",D17+D18)</f>
        <v>7.3</v>
      </c>
      <c r="G18" s="126" t="s">
        <v>3</v>
      </c>
      <c r="H18" s="133">
        <f>IF(D18="","",ROUND(F18/100*$H$5,2))</f>
        <v>1.1399999999999999</v>
      </c>
      <c r="I18" s="126" t="s">
        <v>4</v>
      </c>
      <c r="K18" s="129"/>
      <c r="L18" s="143" t="s">
        <v>151</v>
      </c>
      <c r="M18" s="147" t="str">
        <f t="shared" ca="1" si="0"/>
        <v/>
      </c>
      <c r="N18" s="147" t="str">
        <f t="shared" ca="1" si="0"/>
        <v/>
      </c>
      <c r="O18" s="147" t="str">
        <f t="shared" ca="1" si="0"/>
        <v/>
      </c>
      <c r="P18" s="147" t="str">
        <f t="shared" ca="1" si="0"/>
        <v/>
      </c>
    </row>
    <row r="19" spans="1:22" ht="11.25" x14ac:dyDescent="0.2">
      <c r="A19" s="126" t="s">
        <v>24</v>
      </c>
      <c r="B19" s="126" t="s">
        <v>128</v>
      </c>
      <c r="C19" s="126"/>
      <c r="D19" s="9">
        <f>D74</f>
        <v>9.3000000000000007</v>
      </c>
      <c r="E19" s="126" t="s">
        <v>3</v>
      </c>
      <c r="F19" s="138"/>
      <c r="G19" s="126"/>
      <c r="H19" s="130"/>
      <c r="I19" s="126"/>
      <c r="K19" s="129" t="str">
        <f ca="1">IF(D19&lt;&gt;D74,"Wert prüfen!",IF(H61="","Inhalt der gelben Zellen kann angepasst werden.",""))</f>
        <v>Inhalt der gelben Zellen kann angepasst werden.</v>
      </c>
      <c r="L19" s="143" t="s">
        <v>29</v>
      </c>
      <c r="M19" s="147" t="str">
        <f t="shared" ca="1" si="0"/>
        <v/>
      </c>
      <c r="N19" s="147" t="str">
        <f t="shared" ca="1" si="0"/>
        <v/>
      </c>
      <c r="O19" s="147" t="str">
        <f t="shared" ca="1" si="0"/>
        <v/>
      </c>
      <c r="P19" s="147" t="str">
        <f t="shared" ca="1" si="0"/>
        <v/>
      </c>
    </row>
    <row r="20" spans="1:22" x14ac:dyDescent="0.2">
      <c r="A20" s="126"/>
      <c r="B20" s="126" t="s">
        <v>25</v>
      </c>
      <c r="C20" s="126"/>
      <c r="D20" s="136">
        <f>(D19/100)*$F$14</f>
        <v>0</v>
      </c>
      <c r="E20" s="126" t="s">
        <v>3</v>
      </c>
      <c r="F20" s="137">
        <f>IF(D20="","",D19+D20)</f>
        <v>9.3000000000000007</v>
      </c>
      <c r="G20" s="126" t="s">
        <v>3</v>
      </c>
      <c r="H20" s="133">
        <f>IF(D20="","",ROUND(F20/100*$H$5,2))</f>
        <v>1.46</v>
      </c>
      <c r="I20" s="126" t="s">
        <v>4</v>
      </c>
      <c r="K20" s="129"/>
      <c r="L20" s="143" t="s">
        <v>152</v>
      </c>
      <c r="M20" s="147" t="str">
        <f t="shared" ca="1" si="0"/>
        <v/>
      </c>
      <c r="N20" s="147" t="str">
        <f t="shared" ca="1" si="0"/>
        <v/>
      </c>
      <c r="O20" s="147" t="str">
        <f t="shared" ca="1" si="0"/>
        <v/>
      </c>
      <c r="P20" s="147" t="str">
        <f t="shared" ca="1" si="0"/>
        <v/>
      </c>
    </row>
    <row r="21" spans="1:22" ht="11.25" x14ac:dyDescent="0.2">
      <c r="A21" s="126" t="s">
        <v>26</v>
      </c>
      <c r="B21" s="126" t="s">
        <v>129</v>
      </c>
      <c r="C21" s="126"/>
      <c r="D21" s="9">
        <f>D75</f>
        <v>1.3</v>
      </c>
      <c r="E21" s="126" t="s">
        <v>3</v>
      </c>
      <c r="F21" s="138"/>
      <c r="G21" s="126"/>
      <c r="H21" s="130"/>
      <c r="I21" s="126"/>
      <c r="K21" s="129" t="str">
        <f ca="1">IF(D21&lt;&gt;D75,"Wert prüfen!",IF(H61="","Inhalt der gelben Zellen kann angepasst werden.",""))</f>
        <v>Inhalt der gelben Zellen kann angepasst werden.</v>
      </c>
      <c r="L21" s="143" t="s">
        <v>31</v>
      </c>
      <c r="M21" s="147" t="str">
        <f t="shared" ca="1" si="0"/>
        <v/>
      </c>
      <c r="N21" s="147" t="str">
        <f t="shared" ca="1" si="0"/>
        <v/>
      </c>
      <c r="O21" s="147" t="str">
        <f t="shared" ca="1" si="0"/>
        <v/>
      </c>
      <c r="P21" s="147" t="str">
        <f t="shared" ca="1" si="0"/>
        <v/>
      </c>
    </row>
    <row r="22" spans="1:22" x14ac:dyDescent="0.2">
      <c r="A22" s="126"/>
      <c r="B22" s="126" t="s">
        <v>27</v>
      </c>
      <c r="C22" s="126"/>
      <c r="D22" s="136">
        <f>(D21/100)*$F$14</f>
        <v>0</v>
      </c>
      <c r="E22" s="126" t="s">
        <v>3</v>
      </c>
      <c r="F22" s="137">
        <f>IF(D22="","",D21+D22)</f>
        <v>1.3</v>
      </c>
      <c r="G22" s="126" t="s">
        <v>3</v>
      </c>
      <c r="H22" s="133">
        <f>IF(D22="","",ROUND(F22/100*$H$5,2))</f>
        <v>0.2</v>
      </c>
      <c r="I22" s="126" t="s">
        <v>4</v>
      </c>
      <c r="K22" s="129"/>
      <c r="L22" s="143" t="s">
        <v>153</v>
      </c>
      <c r="M22" s="147" t="str">
        <f>IF($F$27="","",ROUND($F$27/100*M7,2))</f>
        <v/>
      </c>
      <c r="N22" s="147" t="str">
        <f>IF($F$27="","",ROUND($F$27/100*N7,2))</f>
        <v/>
      </c>
      <c r="O22" s="147" t="str">
        <f>IF($F$27="","",ROUND($F$27/100*O7,2))</f>
        <v/>
      </c>
      <c r="P22" s="147" t="str">
        <f>IF($F$27="","",ROUND($F$27/100*P7,2))</f>
        <v/>
      </c>
    </row>
    <row r="23" spans="1:22" ht="11.25" x14ac:dyDescent="0.2">
      <c r="A23" s="126" t="s">
        <v>28</v>
      </c>
      <c r="B23" s="126" t="s">
        <v>130</v>
      </c>
      <c r="C23" s="126"/>
      <c r="D23" s="9">
        <f>D76</f>
        <v>1.8</v>
      </c>
      <c r="E23" s="126" t="s">
        <v>3</v>
      </c>
      <c r="F23" s="138"/>
      <c r="G23" s="126"/>
      <c r="H23" s="130"/>
      <c r="I23" s="126"/>
      <c r="K23" s="129" t="str">
        <f ca="1">IF(D23&lt;&gt;D76,"Wert prüfen!",IF(H61="","Inhalt der gelben Zellen kann angepasst werden.",""))</f>
        <v>Inhalt der gelben Zellen kann angepasst werden.</v>
      </c>
      <c r="L23" s="142" t="s">
        <v>37</v>
      </c>
      <c r="M23" s="149" t="str">
        <f>IF($F$32="","",ROUND($F$32/100*M7,2))</f>
        <v/>
      </c>
      <c r="N23" s="149" t="str">
        <f t="shared" ref="N23:P23" si="1">IF($F$32="","",ROUND($F$32/100*N7,2))</f>
        <v/>
      </c>
      <c r="O23" s="149" t="str">
        <f t="shared" si="1"/>
        <v/>
      </c>
      <c r="P23" s="149" t="str">
        <f t="shared" si="1"/>
        <v/>
      </c>
      <c r="Q23" s="22"/>
      <c r="R23" s="22"/>
      <c r="S23" s="22"/>
      <c r="T23" s="22"/>
      <c r="U23" s="22"/>
      <c r="V23" s="22"/>
    </row>
    <row r="24" spans="1:22" x14ac:dyDescent="0.2">
      <c r="A24" s="126"/>
      <c r="B24" s="126" t="s">
        <v>29</v>
      </c>
      <c r="C24" s="126"/>
      <c r="D24" s="136">
        <f>(D23/100)*$F$14</f>
        <v>0</v>
      </c>
      <c r="E24" s="126" t="s">
        <v>3</v>
      </c>
      <c r="F24" s="137">
        <f>IF(D24="","",D23+D24)</f>
        <v>1.8</v>
      </c>
      <c r="G24" s="126" t="s">
        <v>3</v>
      </c>
      <c r="H24" s="133">
        <f>IF(D24="","",ROUND(F24/100*$H$5,2))</f>
        <v>0.28000000000000003</v>
      </c>
      <c r="I24" s="126" t="s">
        <v>4</v>
      </c>
      <c r="K24" s="129"/>
      <c r="L24" s="143" t="s">
        <v>154</v>
      </c>
      <c r="M24" s="147">
        <f ca="1">SUM(M12:M23)</f>
        <v>0</v>
      </c>
      <c r="N24" s="147">
        <f t="shared" ref="N24:P24" ca="1" si="2">SUM(N12:N23)</f>
        <v>0</v>
      </c>
      <c r="O24" s="147">
        <f t="shared" ca="1" si="2"/>
        <v>0</v>
      </c>
      <c r="P24" s="147">
        <f t="shared" ca="1" si="2"/>
        <v>0</v>
      </c>
    </row>
    <row r="25" spans="1:22" ht="11.25" x14ac:dyDescent="0.2">
      <c r="A25" s="126" t="s">
        <v>30</v>
      </c>
      <c r="B25" s="126" t="s">
        <v>131</v>
      </c>
      <c r="C25" s="126"/>
      <c r="D25" s="9"/>
      <c r="E25" s="126" t="s">
        <v>3</v>
      </c>
      <c r="F25" s="138"/>
      <c r="G25" s="126"/>
      <c r="H25" s="130"/>
      <c r="I25" s="126"/>
      <c r="K25" s="129" t="str">
        <f>IF(D25="","Bitte ausfüllen!","")</f>
        <v>Bitte ausfüllen!</v>
      </c>
      <c r="L25" s="143" t="s">
        <v>155</v>
      </c>
      <c r="M25" s="148" t="str">
        <f ca="1">IF(M7="","",(SUM(M12:M23)+M7))</f>
        <v/>
      </c>
      <c r="N25" s="148" t="str">
        <f t="shared" ref="N25:P25" ca="1" si="3">IF(N7="","",(SUM(N12:N23)+N7))</f>
        <v/>
      </c>
      <c r="O25" s="148" t="str">
        <f t="shared" ca="1" si="3"/>
        <v/>
      </c>
      <c r="P25" s="148" t="str">
        <f t="shared" ca="1" si="3"/>
        <v/>
      </c>
    </row>
    <row r="26" spans="1:22" x14ac:dyDescent="0.2">
      <c r="A26" s="126"/>
      <c r="B26" s="126" t="s">
        <v>31</v>
      </c>
      <c r="C26" s="126"/>
      <c r="D26" s="136">
        <f>(D25/100)*$F$14</f>
        <v>0</v>
      </c>
      <c r="E26" s="126" t="s">
        <v>3</v>
      </c>
      <c r="F26" s="137">
        <f>IF(D26="","",D25+D26)</f>
        <v>0</v>
      </c>
      <c r="G26" s="126" t="s">
        <v>3</v>
      </c>
      <c r="H26" s="133">
        <f>IF(D26="","",ROUND(F26/100*$H$5,2))</f>
        <v>0</v>
      </c>
      <c r="I26" s="126" t="s">
        <v>4</v>
      </c>
      <c r="K26" s="129"/>
      <c r="L26" s="143"/>
      <c r="M26" s="143"/>
      <c r="N26" s="143"/>
      <c r="O26" s="143"/>
      <c r="P26" s="143"/>
    </row>
    <row r="27" spans="1:22" ht="11.25" x14ac:dyDescent="0.2">
      <c r="A27" s="126" t="s">
        <v>32</v>
      </c>
      <c r="B27" s="126" t="s">
        <v>132</v>
      </c>
      <c r="C27" s="126"/>
      <c r="D27" s="126"/>
      <c r="E27" s="126"/>
      <c r="F27" s="9"/>
      <c r="G27" s="126" t="s">
        <v>3</v>
      </c>
      <c r="H27" s="133" t="str">
        <f>IF(F27="","",ROUND(F27/100*$H$5,2))</f>
        <v/>
      </c>
      <c r="I27" s="126" t="s">
        <v>4</v>
      </c>
      <c r="K27" s="129" t="str">
        <f>IF(F27="","Bitte ausfüllen!","")</f>
        <v>Bitte ausfüllen!</v>
      </c>
      <c r="L27" s="143" t="s">
        <v>156</v>
      </c>
      <c r="M27" s="150" t="str">
        <f ca="1">IF(M25="","",ROUND($H$61+M25,2))</f>
        <v/>
      </c>
      <c r="N27" s="150" t="str">
        <f t="shared" ref="N27:P27" ca="1" si="4">IF(N25="","",ROUND($H$61+N25,2))</f>
        <v/>
      </c>
      <c r="O27" s="150" t="str">
        <f t="shared" ca="1" si="4"/>
        <v/>
      </c>
      <c r="P27" s="150" t="str">
        <f t="shared" ca="1" si="4"/>
        <v/>
      </c>
    </row>
    <row r="28" spans="1:22" ht="11.25" x14ac:dyDescent="0.2">
      <c r="A28" s="126" t="s">
        <v>33</v>
      </c>
      <c r="B28" s="126" t="s">
        <v>133</v>
      </c>
      <c r="C28" s="126"/>
      <c r="D28" s="126"/>
      <c r="E28" s="126"/>
      <c r="F28" s="9">
        <f>D79</f>
        <v>0.15</v>
      </c>
      <c r="G28" s="126" t="s">
        <v>3</v>
      </c>
      <c r="H28" s="133">
        <f>IF(F28="","",ROUND(F28/100*$H$5,2))</f>
        <v>0.02</v>
      </c>
      <c r="I28" s="126" t="s">
        <v>4</v>
      </c>
      <c r="K28" s="129" t="str">
        <f ca="1">IF(F28&lt;&gt;D79,"Wert prüfen!",IF(H61="","Inhalt der gelben Zellen kann angepasst werden.",""))</f>
        <v>Inhalt der gelben Zellen kann angepasst werden.</v>
      </c>
    </row>
    <row r="29" spans="1:22" ht="25.5" customHeight="1" x14ac:dyDescent="0.2">
      <c r="A29" s="127"/>
      <c r="B29" s="212" t="s">
        <v>34</v>
      </c>
      <c r="C29" s="212"/>
      <c r="D29" s="127"/>
      <c r="E29" s="127"/>
      <c r="F29" s="134">
        <f>IF(SUM(F17:F28)=0,0,SUM(F17:F28)+F14)</f>
        <v>19.850000000000001</v>
      </c>
      <c r="G29" s="127" t="s">
        <v>3</v>
      </c>
      <c r="H29" s="135" t="str">
        <f>IF(OR(COUNTIF(D17:D26,"")&gt;0,COUNTIF(F27:F28,"")&gt;0),"",SUM(H17:H28)+H14)</f>
        <v/>
      </c>
      <c r="I29" s="127" t="s">
        <v>4</v>
      </c>
      <c r="K29" s="129" t="str">
        <f>IF(H29="","Angaben offen!","")</f>
        <v>Angaben offen!</v>
      </c>
    </row>
    <row r="30" spans="1:22" x14ac:dyDescent="0.2">
      <c r="A30" s="126"/>
      <c r="B30" s="126"/>
      <c r="C30" s="126"/>
      <c r="D30" s="126"/>
      <c r="E30" s="126"/>
      <c r="F30" s="130"/>
      <c r="G30" s="126"/>
      <c r="H30" s="130"/>
      <c r="I30" s="126"/>
    </row>
    <row r="31" spans="1:22" x14ac:dyDescent="0.2">
      <c r="A31" s="126"/>
      <c r="B31" s="127" t="s">
        <v>35</v>
      </c>
      <c r="C31" s="126"/>
      <c r="D31" s="126"/>
      <c r="E31" s="126"/>
      <c r="F31" s="130"/>
      <c r="G31" s="126"/>
      <c r="H31" s="130"/>
      <c r="I31" s="126"/>
    </row>
    <row r="32" spans="1:22" x14ac:dyDescent="0.2">
      <c r="A32" s="126" t="s">
        <v>36</v>
      </c>
      <c r="B32" s="126" t="s">
        <v>37</v>
      </c>
      <c r="C32" s="126"/>
      <c r="D32" s="126"/>
      <c r="E32" s="126"/>
      <c r="F32" s="9"/>
      <c r="G32" s="126" t="s">
        <v>3</v>
      </c>
      <c r="H32" s="133" t="str">
        <f>IF(F32="","",ROUND(F32/100*$H$5,2))</f>
        <v/>
      </c>
      <c r="I32" s="126" t="s">
        <v>4</v>
      </c>
      <c r="K32" s="129" t="str">
        <f>IF(F32="","Bitte ausfüllen!","")</f>
        <v>Bitte ausfüllen!</v>
      </c>
    </row>
    <row r="33" spans="1:11" x14ac:dyDescent="0.2">
      <c r="A33" s="126" t="s">
        <v>38</v>
      </c>
      <c r="B33" s="126" t="s">
        <v>39</v>
      </c>
      <c r="C33" s="126"/>
      <c r="D33" s="126"/>
      <c r="E33" s="126"/>
      <c r="F33" s="9"/>
      <c r="G33" s="126" t="s">
        <v>3</v>
      </c>
      <c r="H33" s="133" t="str">
        <f>IF(F33="","",ROUND(F33/100*$H$5,2))</f>
        <v/>
      </c>
      <c r="I33" s="126" t="s">
        <v>4</v>
      </c>
      <c r="K33" s="129" t="str">
        <f>IF(F33="","Bitte ausfüllen!","")</f>
        <v>Bitte ausfüllen!</v>
      </c>
    </row>
    <row r="34" spans="1:11" ht="25.5" customHeight="1" x14ac:dyDescent="0.2">
      <c r="A34" s="127"/>
      <c r="B34" s="212" t="s">
        <v>40</v>
      </c>
      <c r="C34" s="212"/>
      <c r="D34" s="127"/>
      <c r="E34" s="127"/>
      <c r="F34" s="134">
        <f>IF(SUM(F32:F33)=0,0,SUM(F32:F33)+F29)</f>
        <v>0</v>
      </c>
      <c r="G34" s="127" t="s">
        <v>3</v>
      </c>
      <c r="H34" s="135" t="str">
        <f>IF(COUNTIF(H32:H33,"")&gt;0,"",SUM(H32:H33)+H29)</f>
        <v/>
      </c>
      <c r="I34" s="127" t="s">
        <v>4</v>
      </c>
      <c r="K34" s="129" t="str">
        <f>IF(H34="","Angaben offen!","")</f>
        <v>Angaben offen!</v>
      </c>
    </row>
    <row r="35" spans="1:11" x14ac:dyDescent="0.2">
      <c r="A35" s="126"/>
      <c r="B35" s="126"/>
      <c r="C35" s="126"/>
      <c r="D35" s="126"/>
      <c r="E35" s="126"/>
      <c r="F35" s="130"/>
      <c r="G35" s="126"/>
      <c r="H35" s="130"/>
      <c r="I35" s="126"/>
    </row>
    <row r="36" spans="1:11" x14ac:dyDescent="0.2">
      <c r="A36" s="127" t="s">
        <v>41</v>
      </c>
      <c r="B36" s="127" t="s">
        <v>42</v>
      </c>
      <c r="C36" s="127"/>
      <c r="D36" s="127"/>
      <c r="E36" s="127"/>
      <c r="F36" s="131"/>
      <c r="G36" s="127"/>
      <c r="H36" s="131"/>
      <c r="I36" s="127"/>
    </row>
    <row r="37" spans="1:11" x14ac:dyDescent="0.2">
      <c r="A37" s="126" t="s">
        <v>43</v>
      </c>
      <c r="B37" s="126" t="s">
        <v>44</v>
      </c>
      <c r="C37" s="126"/>
      <c r="D37" s="126"/>
      <c r="E37" s="126"/>
      <c r="F37" s="130"/>
      <c r="G37" s="126"/>
      <c r="H37" s="130"/>
      <c r="I37" s="126"/>
    </row>
    <row r="38" spans="1:11" x14ac:dyDescent="0.2">
      <c r="A38" s="126"/>
      <c r="B38" s="126" t="s">
        <v>45</v>
      </c>
      <c r="C38" s="126"/>
      <c r="D38" s="126"/>
      <c r="E38" s="126"/>
      <c r="F38" s="9"/>
      <c r="G38" s="126" t="s">
        <v>3</v>
      </c>
      <c r="H38" s="133" t="str">
        <f>IF(F38="","",ROUND(F38/100*$H$5,2))</f>
        <v/>
      </c>
      <c r="I38" s="126" t="s">
        <v>4</v>
      </c>
      <c r="K38" s="129" t="str">
        <f>IF(F38="","Bitte ausfüllen!","")</f>
        <v>Bitte ausfüllen!</v>
      </c>
    </row>
    <row r="39" spans="1:11" x14ac:dyDescent="0.2">
      <c r="A39" s="126" t="s">
        <v>46</v>
      </c>
      <c r="B39" s="126" t="s">
        <v>47</v>
      </c>
      <c r="C39" s="126"/>
      <c r="D39" s="126"/>
      <c r="E39" s="126"/>
      <c r="F39" s="9"/>
      <c r="G39" s="126" t="s">
        <v>3</v>
      </c>
      <c r="H39" s="133" t="str">
        <f>IF(F39="","",ROUND(F39/100*$H$5,2))</f>
        <v/>
      </c>
      <c r="I39" s="126" t="s">
        <v>4</v>
      </c>
      <c r="K39" s="129" t="str">
        <f>IF(F39="","Bitte ausfüllen!","")</f>
        <v>Bitte ausfüllen!</v>
      </c>
    </row>
    <row r="40" spans="1:11" x14ac:dyDescent="0.2">
      <c r="A40" s="126" t="s">
        <v>48</v>
      </c>
      <c r="B40" s="126" t="s">
        <v>49</v>
      </c>
      <c r="C40" s="126"/>
      <c r="D40" s="126"/>
      <c r="E40" s="126"/>
      <c r="F40" s="9"/>
      <c r="G40" s="126" t="s">
        <v>3</v>
      </c>
      <c r="H40" s="133" t="str">
        <f>IF(F40="","",ROUND(F40/100*$H$5,2))</f>
        <v/>
      </c>
      <c r="I40" s="126" t="s">
        <v>4</v>
      </c>
      <c r="K40" s="129" t="str">
        <f>IF(F40="","Bitte ausfüllen!","")</f>
        <v>Bitte ausfüllen!</v>
      </c>
    </row>
    <row r="41" spans="1:11" x14ac:dyDescent="0.2">
      <c r="A41" s="126" t="s">
        <v>50</v>
      </c>
      <c r="B41" s="126" t="s">
        <v>51</v>
      </c>
      <c r="C41" s="126"/>
      <c r="D41" s="126"/>
      <c r="E41" s="126"/>
      <c r="F41" s="9"/>
      <c r="G41" s="126" t="s">
        <v>3</v>
      </c>
      <c r="H41" s="133" t="str">
        <f>IF(F41="","",ROUND(F41/100*$H$5,2))</f>
        <v/>
      </c>
      <c r="I41" s="126" t="s">
        <v>4</v>
      </c>
      <c r="K41" s="129" t="str">
        <f>IF(F41="","Bitte ausfüllen!","")</f>
        <v>Bitte ausfüllen!</v>
      </c>
    </row>
    <row r="42" spans="1:11" ht="25.5" customHeight="1" x14ac:dyDescent="0.2">
      <c r="A42" s="127"/>
      <c r="B42" s="212" t="s">
        <v>52</v>
      </c>
      <c r="C42" s="212"/>
      <c r="D42" s="127"/>
      <c r="E42" s="127"/>
      <c r="F42" s="134">
        <f>IF(SUM(F38:F41)=0,0,SUM(F38:F41))</f>
        <v>0</v>
      </c>
      <c r="G42" s="127" t="s">
        <v>3</v>
      </c>
      <c r="H42" s="135" t="str">
        <f>IF(COUNTIF(H38:H41,"")&gt;0,"",SUM(H38:H41))</f>
        <v/>
      </c>
      <c r="I42" s="127" t="s">
        <v>4</v>
      </c>
      <c r="K42" s="129" t="str">
        <f>IF(H42="","Angaben offen!","")</f>
        <v>Angaben offen!</v>
      </c>
    </row>
    <row r="43" spans="1:11" x14ac:dyDescent="0.2">
      <c r="A43" s="126"/>
      <c r="B43" s="126"/>
      <c r="C43" s="126"/>
      <c r="D43" s="126"/>
      <c r="E43" s="126"/>
      <c r="F43" s="130"/>
      <c r="G43" s="126"/>
      <c r="H43" s="130"/>
      <c r="I43" s="126"/>
    </row>
    <row r="44" spans="1:11" x14ac:dyDescent="0.2">
      <c r="A44" s="127" t="s">
        <v>53</v>
      </c>
      <c r="B44" s="127" t="s">
        <v>54</v>
      </c>
      <c r="C44" s="127"/>
      <c r="D44" s="127"/>
      <c r="E44" s="127"/>
      <c r="F44" s="127"/>
      <c r="G44" s="127"/>
      <c r="H44" s="127"/>
      <c r="I44" s="127"/>
    </row>
    <row r="45" spans="1:11" x14ac:dyDescent="0.2">
      <c r="A45" s="126" t="s">
        <v>55</v>
      </c>
      <c r="B45" s="126" t="s">
        <v>56</v>
      </c>
      <c r="C45" s="126"/>
      <c r="D45" s="126"/>
      <c r="E45" s="126"/>
      <c r="F45" s="126"/>
      <c r="G45" s="126"/>
      <c r="H45" s="126"/>
      <c r="I45" s="126"/>
    </row>
    <row r="46" spans="1:11" x14ac:dyDescent="0.2">
      <c r="A46" s="126" t="s">
        <v>57</v>
      </c>
      <c r="B46" s="126"/>
      <c r="C46" s="126" t="s">
        <v>58</v>
      </c>
      <c r="D46" s="126"/>
      <c r="E46" s="126"/>
      <c r="F46" s="9"/>
      <c r="G46" s="126" t="s">
        <v>3</v>
      </c>
      <c r="H46" s="133" t="str">
        <f>IF(F46="","",ROUND(F46/100*$H$5,2))</f>
        <v/>
      </c>
      <c r="I46" s="126" t="s">
        <v>4</v>
      </c>
      <c r="K46" s="129" t="str">
        <f>IF(F46="","Bitte ausfüllen!","")</f>
        <v>Bitte ausfüllen!</v>
      </c>
    </row>
    <row r="47" spans="1:11" x14ac:dyDescent="0.2">
      <c r="A47" s="126" t="s">
        <v>59</v>
      </c>
      <c r="B47" s="126"/>
      <c r="C47" s="126" t="s">
        <v>126</v>
      </c>
      <c r="D47" s="126"/>
      <c r="E47" s="126"/>
      <c r="F47" s="9"/>
      <c r="G47" s="126" t="s">
        <v>3</v>
      </c>
      <c r="H47" s="133" t="str">
        <f>IF(F47="","",ROUND(F47/100*$H$5,2))</f>
        <v/>
      </c>
      <c r="I47" s="126" t="s">
        <v>4</v>
      </c>
      <c r="K47" s="129" t="str">
        <f>IF(F47="","Bitte ausfüllen!","")</f>
        <v>Bitte ausfüllen!</v>
      </c>
    </row>
    <row r="48" spans="1:11" x14ac:dyDescent="0.2">
      <c r="A48" s="126" t="s">
        <v>60</v>
      </c>
      <c r="B48" s="126" t="s">
        <v>61</v>
      </c>
      <c r="C48" s="126"/>
      <c r="D48" s="126"/>
      <c r="E48" s="126"/>
      <c r="F48" s="9"/>
      <c r="G48" s="126" t="s">
        <v>3</v>
      </c>
      <c r="H48" s="133" t="str">
        <f>IF(F48="","",ROUND(F48/100*$H$5,2))</f>
        <v/>
      </c>
      <c r="I48" s="126" t="s">
        <v>4</v>
      </c>
      <c r="K48" s="129" t="str">
        <f>IF(F48="","Bitte ausfüllen!","")</f>
        <v>Bitte ausfüllen!</v>
      </c>
    </row>
    <row r="49" spans="1:11" x14ac:dyDescent="0.2">
      <c r="A49" s="126" t="s">
        <v>62</v>
      </c>
      <c r="B49" s="126" t="s">
        <v>63</v>
      </c>
      <c r="C49" s="126"/>
      <c r="D49" s="126"/>
      <c r="E49" s="126"/>
      <c r="F49" s="126"/>
      <c r="G49" s="126"/>
      <c r="H49" s="126"/>
      <c r="I49" s="126"/>
    </row>
    <row r="50" spans="1:11" x14ac:dyDescent="0.2">
      <c r="A50" s="126" t="s">
        <v>64</v>
      </c>
      <c r="B50" s="126"/>
      <c r="C50" s="126" t="s">
        <v>65</v>
      </c>
      <c r="D50" s="126"/>
      <c r="E50" s="126"/>
      <c r="F50" s="9"/>
      <c r="G50" s="126" t="s">
        <v>3</v>
      </c>
      <c r="H50" s="133" t="str">
        <f t="shared" ref="H50:H56" si="5">IF(F50="","",ROUND(F50/100*$H$5,2))</f>
        <v/>
      </c>
      <c r="I50" s="126" t="s">
        <v>4</v>
      </c>
      <c r="K50" s="129" t="str">
        <f t="shared" ref="K50:K56" si="6">IF(F50="","Bitte ausfüllen!","")</f>
        <v>Bitte ausfüllen!</v>
      </c>
    </row>
    <row r="51" spans="1:11" x14ac:dyDescent="0.2">
      <c r="A51" s="126" t="s">
        <v>66</v>
      </c>
      <c r="B51" s="126"/>
      <c r="C51" s="126" t="s">
        <v>67</v>
      </c>
      <c r="D51" s="126"/>
      <c r="E51" s="126"/>
      <c r="F51" s="9"/>
      <c r="G51" s="126" t="s">
        <v>3</v>
      </c>
      <c r="H51" s="133" t="str">
        <f t="shared" si="5"/>
        <v/>
      </c>
      <c r="I51" s="126" t="s">
        <v>4</v>
      </c>
      <c r="K51" s="129" t="str">
        <f t="shared" si="6"/>
        <v>Bitte ausfüllen!</v>
      </c>
    </row>
    <row r="52" spans="1:11" x14ac:dyDescent="0.2">
      <c r="A52" s="126" t="s">
        <v>68</v>
      </c>
      <c r="B52" s="126" t="s">
        <v>69</v>
      </c>
      <c r="C52" s="126"/>
      <c r="D52" s="126"/>
      <c r="E52" s="126"/>
      <c r="F52" s="9"/>
      <c r="G52" s="126" t="s">
        <v>3</v>
      </c>
      <c r="H52" s="133" t="str">
        <f t="shared" si="5"/>
        <v/>
      </c>
      <c r="I52" s="126" t="s">
        <v>4</v>
      </c>
      <c r="K52" s="129" t="str">
        <f t="shared" si="6"/>
        <v>Bitte ausfüllen!</v>
      </c>
    </row>
    <row r="53" spans="1:11" x14ac:dyDescent="0.2">
      <c r="A53" s="126" t="s">
        <v>70</v>
      </c>
      <c r="B53" s="126" t="s">
        <v>71</v>
      </c>
      <c r="C53" s="126"/>
      <c r="D53" s="126"/>
      <c r="E53" s="126"/>
      <c r="F53" s="9"/>
      <c r="G53" s="126" t="s">
        <v>3</v>
      </c>
      <c r="H53" s="133" t="str">
        <f t="shared" si="5"/>
        <v/>
      </c>
      <c r="I53" s="126" t="s">
        <v>4</v>
      </c>
      <c r="K53" s="129" t="str">
        <f t="shared" si="6"/>
        <v>Bitte ausfüllen!</v>
      </c>
    </row>
    <row r="54" spans="1:11" x14ac:dyDescent="0.2">
      <c r="A54" s="126" t="s">
        <v>72</v>
      </c>
      <c r="B54" s="126" t="s">
        <v>73</v>
      </c>
      <c r="C54" s="126"/>
      <c r="D54" s="126"/>
      <c r="E54" s="126"/>
      <c r="F54" s="9"/>
      <c r="G54" s="126" t="s">
        <v>3</v>
      </c>
      <c r="H54" s="133" t="str">
        <f t="shared" si="5"/>
        <v/>
      </c>
      <c r="I54" s="126" t="s">
        <v>4</v>
      </c>
      <c r="K54" s="129" t="str">
        <f t="shared" si="6"/>
        <v>Bitte ausfüllen!</v>
      </c>
    </row>
    <row r="55" spans="1:11" x14ac:dyDescent="0.2">
      <c r="A55" s="126" t="s">
        <v>74</v>
      </c>
      <c r="B55" s="126" t="s">
        <v>75</v>
      </c>
      <c r="C55" s="126"/>
      <c r="D55" s="126"/>
      <c r="E55" s="126"/>
      <c r="F55" s="9"/>
      <c r="G55" s="126" t="s">
        <v>3</v>
      </c>
      <c r="H55" s="133" t="str">
        <f t="shared" si="5"/>
        <v/>
      </c>
      <c r="I55" s="126" t="s">
        <v>4</v>
      </c>
      <c r="K55" s="129" t="str">
        <f t="shared" si="6"/>
        <v>Bitte ausfüllen!</v>
      </c>
    </row>
    <row r="56" spans="1:11" x14ac:dyDescent="0.2">
      <c r="A56" s="126" t="s">
        <v>76</v>
      </c>
      <c r="B56" s="126" t="s">
        <v>77</v>
      </c>
      <c r="C56" s="126"/>
      <c r="D56" s="126"/>
      <c r="E56" s="126"/>
      <c r="F56" s="9"/>
      <c r="G56" s="126" t="s">
        <v>3</v>
      </c>
      <c r="H56" s="133" t="str">
        <f t="shared" si="5"/>
        <v/>
      </c>
      <c r="I56" s="126" t="s">
        <v>4</v>
      </c>
      <c r="K56" s="129" t="str">
        <f t="shared" si="6"/>
        <v>Bitte ausfüllen!</v>
      </c>
    </row>
    <row r="57" spans="1:11" ht="25.5" customHeight="1" x14ac:dyDescent="0.2">
      <c r="A57" s="127"/>
      <c r="B57" s="212" t="s">
        <v>78</v>
      </c>
      <c r="C57" s="212"/>
      <c r="D57" s="127"/>
      <c r="E57" s="127"/>
      <c r="F57" s="134">
        <f>IF(SUM(F45:F56)=0,0,SUM(F45:F56))</f>
        <v>0</v>
      </c>
      <c r="G57" s="127" t="s">
        <v>3</v>
      </c>
      <c r="H57" s="135" t="str">
        <f>IF(COUNTIF(H46:H56,"")&gt;1,"",SUM(H46:H56))</f>
        <v/>
      </c>
      <c r="I57" s="127" t="s">
        <v>4</v>
      </c>
      <c r="K57" s="129" t="str">
        <f>IF(H57="","Angaben offen!","")</f>
        <v>Angaben offen!</v>
      </c>
    </row>
    <row r="58" spans="1:11" x14ac:dyDescent="0.2">
      <c r="A58" s="126"/>
      <c r="B58" s="126"/>
      <c r="C58" s="126"/>
      <c r="D58" s="126"/>
      <c r="E58" s="126"/>
      <c r="F58" s="130"/>
      <c r="G58" s="126"/>
      <c r="H58" s="130"/>
      <c r="I58" s="126"/>
    </row>
    <row r="59" spans="1:11" x14ac:dyDescent="0.2">
      <c r="A59" s="127" t="s">
        <v>79</v>
      </c>
      <c r="B59" s="211" t="s">
        <v>80</v>
      </c>
      <c r="C59" s="211"/>
      <c r="D59" s="127"/>
      <c r="E59" s="127"/>
      <c r="F59" s="139">
        <f>IF(AND(F34=""),0,F34+F42+F57+F5)</f>
        <v>100</v>
      </c>
      <c r="G59" s="127" t="s">
        <v>3</v>
      </c>
      <c r="H59" s="131" t="str">
        <f>IF(H57="","",H34+H42+H57+H5)</f>
        <v/>
      </c>
      <c r="I59" s="127" t="s">
        <v>4</v>
      </c>
    </row>
    <row r="60" spans="1:11" x14ac:dyDescent="0.2">
      <c r="A60" s="127" t="s">
        <v>81</v>
      </c>
      <c r="B60" s="127" t="s">
        <v>82</v>
      </c>
      <c r="C60" s="127"/>
      <c r="D60" s="127"/>
      <c r="E60" s="127"/>
      <c r="F60" s="9"/>
      <c r="G60" s="127" t="s">
        <v>3</v>
      </c>
      <c r="H60" s="135" t="str">
        <f>IF(F60="","",ROUND(F60/100*H59,2))</f>
        <v/>
      </c>
      <c r="I60" s="127" t="s">
        <v>4</v>
      </c>
      <c r="K60" s="129" t="str">
        <f>IF(F60="","Bitte ausfüllen!","")</f>
        <v>Bitte ausfüllen!</v>
      </c>
    </row>
    <row r="61" spans="1:11" x14ac:dyDescent="0.2">
      <c r="A61" s="127"/>
      <c r="B61" s="127" t="s">
        <v>83</v>
      </c>
      <c r="C61" s="127"/>
      <c r="D61" s="127"/>
      <c r="E61" s="127"/>
      <c r="F61" s="134">
        <f ca="1">IF(H61="",0,H61/H5*100)</f>
        <v>0</v>
      </c>
      <c r="G61" s="127" t="s">
        <v>3</v>
      </c>
      <c r="H61" s="135" t="str">
        <f ca="1">IF(SUM(COUNTIF(INDIRECT({"H5","F9:F13","D17:D26","F27:F28","F32:F33","F38:F41","F46:F48","F50:F56","F60","H65:H68"}),""))&gt;0,"",H59+H60)</f>
        <v/>
      </c>
      <c r="I61" s="127" t="s">
        <v>4</v>
      </c>
      <c r="K61" s="129" t="str" cm="1">
        <f t="array" aca="1" ref="K61" ca="1">IF(SUM(COUNTIF(INDIRECT({"H5","F9:F13","D17:D26","F27:F28","F32:F33","F38:F41","F46:F48","F50:F56","F60","H65:H68","M3:P3"}),""))&gt;0,SUM(COUNTIF(INDIRECT({"H5","F9:F13","D17:D26","F27:F28","F32:F33","F38:F41","F46:F48","F50:F56","F60","H65:H68","M3:P3"}),"")) &amp;" Zelle(n) ohne Wert!","")</f>
        <v>28 Zelle(n) ohne Wert!</v>
      </c>
    </row>
    <row r="62" spans="1:11" x14ac:dyDescent="0.2">
      <c r="A62" s="126"/>
      <c r="B62" s="126" t="s">
        <v>84</v>
      </c>
      <c r="C62" s="126"/>
      <c r="D62" s="126"/>
      <c r="E62" s="126"/>
      <c r="F62" s="134">
        <f ca="1">IF(F61=0,0,F61-F5)</f>
        <v>0</v>
      </c>
      <c r="G62" s="126" t="s">
        <v>3</v>
      </c>
      <c r="H62" s="126"/>
      <c r="I62" s="126"/>
      <c r="K62" s="129" t="str">
        <f ca="1">IF(F62&lt;70,"Bitte prüfen gemäß Aufforderung!","")</f>
        <v>Bitte prüfen gemäß Aufforderung!</v>
      </c>
    </row>
    <row r="63" spans="1:11" x14ac:dyDescent="0.2">
      <c r="A63" s="126"/>
      <c r="B63" s="126"/>
      <c r="C63" s="126"/>
      <c r="D63" s="126"/>
      <c r="E63" s="126"/>
      <c r="F63" s="126"/>
      <c r="G63" s="126"/>
      <c r="H63" s="126"/>
      <c r="I63" s="126"/>
    </row>
    <row r="64" spans="1:11" x14ac:dyDescent="0.2">
      <c r="B64" s="127" t="s">
        <v>85</v>
      </c>
      <c r="D64" s="127"/>
      <c r="E64" s="127"/>
      <c r="G64" s="127"/>
      <c r="H64" s="131" t="s">
        <v>86</v>
      </c>
    </row>
    <row r="65" spans="1:11" x14ac:dyDescent="0.2">
      <c r="B65" s="126" t="s">
        <v>87</v>
      </c>
      <c r="D65" s="126"/>
      <c r="E65" s="126"/>
      <c r="G65" s="140"/>
      <c r="H65" s="10"/>
      <c r="K65" s="129" t="str">
        <f>IF(H65="","Bitte ausfüllen!","")</f>
        <v>Bitte ausfüllen!</v>
      </c>
    </row>
    <row r="66" spans="1:11" x14ac:dyDescent="0.2">
      <c r="B66" s="126" t="s">
        <v>88</v>
      </c>
      <c r="D66" s="126"/>
      <c r="E66" s="126"/>
      <c r="G66" s="140"/>
      <c r="H66" s="11"/>
      <c r="K66" s="129" t="str">
        <f>IF(H66="","Bitte ausfüllen!","")</f>
        <v>Bitte ausfüllen!</v>
      </c>
    </row>
    <row r="67" spans="1:11" x14ac:dyDescent="0.2">
      <c r="B67" s="126" t="s">
        <v>89</v>
      </c>
      <c r="D67" s="126"/>
      <c r="E67" s="126"/>
      <c r="G67" s="140"/>
      <c r="H67" s="12"/>
      <c r="K67" s="129" t="str">
        <f>IF(H67="","Bitte ausfüllen!","")</f>
        <v>Bitte ausfüllen!</v>
      </c>
    </row>
    <row r="68" spans="1:11" x14ac:dyDescent="0.2">
      <c r="B68" s="126" t="s">
        <v>90</v>
      </c>
      <c r="D68" s="126"/>
      <c r="E68" s="126"/>
      <c r="G68" s="140"/>
      <c r="H68" s="11"/>
      <c r="K68" s="129" t="str">
        <f>IF(H68="","Bitte ausfüllen!","")</f>
        <v>Bitte ausfüllen!</v>
      </c>
    </row>
    <row r="70" spans="1:11" x14ac:dyDescent="0.2">
      <c r="C70" s="90"/>
      <c r="D70" s="4"/>
    </row>
    <row r="71" spans="1:11" ht="15.95" customHeight="1" x14ac:dyDescent="0.2">
      <c r="A71" s="202" t="s">
        <v>231</v>
      </c>
      <c r="B71" s="202"/>
      <c r="C71" s="202"/>
      <c r="D71" s="202" t="s">
        <v>242</v>
      </c>
      <c r="F71" s="204" t="s">
        <v>139</v>
      </c>
      <c r="G71" s="205"/>
      <c r="H71" s="206"/>
    </row>
    <row r="72" spans="1:11" ht="15.95" customHeight="1" x14ac:dyDescent="0.2">
      <c r="A72" s="203"/>
      <c r="B72" s="203"/>
      <c r="C72" s="203"/>
      <c r="D72" s="203"/>
      <c r="F72" s="207"/>
      <c r="G72" s="208"/>
      <c r="H72" s="209"/>
      <c r="I72" s="127"/>
      <c r="J72" s="127"/>
      <c r="K72" s="127"/>
    </row>
    <row r="73" spans="1:11" ht="19.899999999999999" customHeight="1" x14ac:dyDescent="0.2">
      <c r="A73" s="213">
        <v>1</v>
      </c>
      <c r="B73" s="213"/>
      <c r="C73" s="14" t="s">
        <v>134</v>
      </c>
      <c r="D73" s="92">
        <v>7.3</v>
      </c>
      <c r="F73" s="214" t="s">
        <v>647</v>
      </c>
      <c r="G73" s="214"/>
      <c r="H73" s="214"/>
    </row>
    <row r="74" spans="1:11" ht="19.899999999999999" customHeight="1" x14ac:dyDescent="0.2">
      <c r="A74" s="213">
        <v>2</v>
      </c>
      <c r="B74" s="213"/>
      <c r="C74" s="14" t="s">
        <v>135</v>
      </c>
      <c r="D74" s="92">
        <v>9.3000000000000007</v>
      </c>
    </row>
    <row r="75" spans="1:11" ht="24" customHeight="1" x14ac:dyDescent="0.2">
      <c r="A75" s="213">
        <v>3</v>
      </c>
      <c r="B75" s="213"/>
      <c r="C75" s="14" t="s">
        <v>136</v>
      </c>
      <c r="D75" s="92">
        <v>1.3</v>
      </c>
    </row>
    <row r="76" spans="1:11" ht="24" customHeight="1" x14ac:dyDescent="0.2">
      <c r="A76" s="213">
        <v>4</v>
      </c>
      <c r="B76" s="213"/>
      <c r="C76" s="14" t="s">
        <v>137</v>
      </c>
      <c r="D76" s="92">
        <f>IF( F73="Sachsen",1.3,1.8)</f>
        <v>1.8</v>
      </c>
    </row>
    <row r="77" spans="1:11" ht="24" customHeight="1" x14ac:dyDescent="0.2">
      <c r="A77" s="213">
        <v>5</v>
      </c>
      <c r="B77" s="213"/>
      <c r="C77" s="14" t="s">
        <v>159</v>
      </c>
      <c r="D77" s="92"/>
    </row>
    <row r="78" spans="1:11" ht="24" customHeight="1" x14ac:dyDescent="0.2">
      <c r="A78" s="213">
        <v>6</v>
      </c>
      <c r="B78" s="213"/>
      <c r="C78" s="14" t="s">
        <v>124</v>
      </c>
      <c r="D78" s="92"/>
    </row>
    <row r="79" spans="1:11" ht="24" customHeight="1" x14ac:dyDescent="0.2">
      <c r="A79" s="213">
        <v>7</v>
      </c>
      <c r="B79" s="213"/>
      <c r="C79" s="14" t="s">
        <v>138</v>
      </c>
      <c r="D79" s="92">
        <v>0.15</v>
      </c>
    </row>
  </sheetData>
  <sheetProtection algorithmName="SHA-512" hashValue="4rjFT+PJFfBlckzjp36YjXblZr+IqWozr7UKpSfCgRFmVShil0ycPdNGbxpvmkzZYU/I9u21JIi/8eWBM9pBkg==" saltValue="o8tqaBZBvjTfPZYD/8Piqg==" spinCount="100000" sheet="1" objects="1" scenarios="1"/>
  <mergeCells count="18">
    <mergeCell ref="B57:C57"/>
    <mergeCell ref="E1:H2"/>
    <mergeCell ref="A3:I3"/>
    <mergeCell ref="B29:C29"/>
    <mergeCell ref="B34:C34"/>
    <mergeCell ref="B42:C42"/>
    <mergeCell ref="A79:B79"/>
    <mergeCell ref="B59:C59"/>
    <mergeCell ref="A71:C72"/>
    <mergeCell ref="D71:D72"/>
    <mergeCell ref="F71:H72"/>
    <mergeCell ref="A73:B73"/>
    <mergeCell ref="F73:H73"/>
    <mergeCell ref="A74:B74"/>
    <mergeCell ref="A75:B75"/>
    <mergeCell ref="A76:B76"/>
    <mergeCell ref="A77:B77"/>
    <mergeCell ref="A78:B78"/>
  </mergeCells>
  <dataValidations count="1">
    <dataValidation type="decimal" errorStyle="warning" allowBlank="1" showInputMessage="1" showErrorMessage="1" error="Bitte überprüfen Sie Ihre Eingaben." sqref="C25" xr:uid="{4C1E12AB-000C-40EC-BB70-63797D29771C}">
      <formula1>8.5</formula1>
      <formula2>84</formula2>
    </dataValidation>
  </dataValidations>
  <hyperlinks>
    <hyperlink ref="M1" location="Inhaltsverzeichnis!A1" display="Zurück zum Inhaltsverzeichnis" xr:uid="{5DFB5661-0DD1-449F-8DE6-F673AFF936D4}"/>
  </hyperlinks>
  <printOptions horizontalCentered="1"/>
  <pageMargins left="0.78740157480314965" right="0.78740157480314965" top="0.98425196850393704" bottom="0.98425196850393704" header="0.51181102362204722" footer="0.51181102362204722"/>
  <pageSetup paperSize="9" scale="63" fitToWidth="0" fitToHeight="0" orientation="portrait" r:id="rId1"/>
  <headerFooter alignWithMargins="0">
    <oddFooter>&amp;C&amp;P von &amp;N</oddFooter>
  </headerFooter>
  <colBreaks count="1" manualBreakCount="1">
    <brk id="11" max="78" man="1"/>
  </colBreaks>
  <drawing r:id="rId2"/>
  <legacyDrawing r:id="rId3"/>
  <mc:AlternateContent xmlns:mc="http://schemas.openxmlformats.org/markup-compatibility/2006">
    <mc:Choice Requires="x14">
      <controls>
        <mc:AlternateContent xmlns:mc="http://schemas.openxmlformats.org/markup-compatibility/2006">
          <mc:Choice Requires="x14">
            <control shapeId="141313" r:id="rId4" name="Check Box 1">
              <controlPr defaultSize="0" autoFill="0" autoLine="0" autoPict="0" altText="Hinweis">
                <anchor moveWithCells="1">
                  <from>
                    <xdr:col>2</xdr:col>
                    <xdr:colOff>2905125</xdr:colOff>
                    <xdr:row>0</xdr:row>
                    <xdr:rowOff>142875</xdr:rowOff>
                  </from>
                  <to>
                    <xdr:col>3</xdr:col>
                    <xdr:colOff>542925</xdr:colOff>
                    <xdr:row>1</xdr:row>
                    <xdr:rowOff>0</xdr:rowOff>
                  </to>
                </anchor>
              </controlPr>
            </control>
          </mc:Choice>
        </mc:AlternateContent>
        <mc:AlternateContent xmlns:mc="http://schemas.openxmlformats.org/markup-compatibility/2006">
          <mc:Choice Requires="x14">
            <control shapeId="141314" r:id="rId5" name="Check Box 2">
              <controlPr defaultSize="0" autoFill="0" autoLine="0" autoPict="0" altText="Hinweis">
                <anchor moveWithCells="1">
                  <from>
                    <xdr:col>2</xdr:col>
                    <xdr:colOff>2905125</xdr:colOff>
                    <xdr:row>1</xdr:row>
                    <xdr:rowOff>19050</xdr:rowOff>
                  </from>
                  <to>
                    <xdr:col>3</xdr:col>
                    <xdr:colOff>542925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indexed="13"/>
  </sheetPr>
  <dimension ref="A1:Q80"/>
  <sheetViews>
    <sheetView showGridLines="0" zoomScaleNormal="100" zoomScaleSheetLayoutView="70" workbookViewId="0"/>
  </sheetViews>
  <sheetFormatPr baseColWidth="10" defaultColWidth="11.42578125" defaultRowHeight="10.5" x14ac:dyDescent="0.2"/>
  <cols>
    <col min="1" max="1" width="6.42578125" style="3" customWidth="1"/>
    <col min="2" max="2" width="2.7109375" style="3" customWidth="1"/>
    <col min="3" max="3" width="43.5703125" style="3" customWidth="1"/>
    <col min="4" max="4" width="10.28515625" style="3" customWidth="1"/>
    <col min="5" max="5" width="2.5703125" style="3" customWidth="1"/>
    <col min="6" max="6" width="11.42578125" style="3"/>
    <col min="7" max="7" width="2.85546875" style="3" customWidth="1"/>
    <col min="8" max="8" width="11.42578125" style="3"/>
    <col min="9" max="9" width="2.7109375" style="3" bestFit="1" customWidth="1"/>
    <col min="10" max="10" width="1.28515625" style="3" customWidth="1"/>
    <col min="11" max="11" width="41.28515625" style="3" customWidth="1"/>
    <col min="12" max="12" width="62.28515625" style="7" customWidth="1"/>
    <col min="13" max="16" width="12.42578125" style="7" customWidth="1"/>
    <col min="17" max="16384" width="11.42578125" style="3"/>
  </cols>
  <sheetData>
    <row r="1" spans="1:16" ht="34.9" customHeight="1" x14ac:dyDescent="0.2">
      <c r="A1" s="125" t="str">
        <f>IF(H61&lt;&gt;"","","Bitte alle gelben Zellen ausfüllen.")</f>
        <v>Bitte alle gelben Zellen ausfüllen.</v>
      </c>
      <c r="D1" s="182" t="b">
        <v>0</v>
      </c>
      <c r="E1" s="192" t="str">
        <f>IF(D1=TRUE,"Alle gelben Zellen ausfüllen. Nichtbenötigte Positionen eindeutig mit 0 kennzeichnen.",IF(D2=TRUE,
"Die rot markierten Informationen sind nur zur Unterstützung. Sie zeigen an, wenn gelbe Zellen in dieser Tabelle nicht ausgefüllt sind. "&amp;
"Wenn keine rote Schrift mehr angezeigt wird, ist alles ausgefüllt.",""))</f>
        <v/>
      </c>
      <c r="F1" s="192"/>
      <c r="G1" s="192"/>
      <c r="H1" s="192"/>
      <c r="I1" s="192"/>
      <c r="M1" s="5" t="s">
        <v>100</v>
      </c>
    </row>
    <row r="2" spans="1:16" ht="39" customHeight="1" x14ac:dyDescent="0.2">
      <c r="A2" s="3" t="s">
        <v>105</v>
      </c>
      <c r="C2" s="3" t="str">
        <f>IF(Inhaltsverzeichnis!$C$3="", "",Inhaltsverzeichnis!$C$3)</f>
        <v/>
      </c>
      <c r="D2" s="23" t="b">
        <v>0</v>
      </c>
      <c r="E2" s="192"/>
      <c r="F2" s="192"/>
      <c r="G2" s="192"/>
      <c r="H2" s="192"/>
      <c r="I2" s="192"/>
    </row>
    <row r="3" spans="1:16" ht="12.75" x14ac:dyDescent="0.2">
      <c r="A3" s="210" t="s">
        <v>102</v>
      </c>
      <c r="B3" s="210"/>
      <c r="C3" s="210"/>
      <c r="D3" s="210"/>
      <c r="E3" s="210"/>
      <c r="F3" s="210"/>
      <c r="G3" s="210"/>
      <c r="H3" s="210"/>
      <c r="I3" s="210"/>
      <c r="L3" s="142" t="s">
        <v>142</v>
      </c>
      <c r="M3" s="52">
        <v>30</v>
      </c>
      <c r="N3" s="52">
        <v>80</v>
      </c>
      <c r="O3" s="52">
        <v>200</v>
      </c>
      <c r="P3" s="52">
        <v>200</v>
      </c>
    </row>
    <row r="4" spans="1:16" x14ac:dyDescent="0.2">
      <c r="A4" s="126"/>
      <c r="B4" s="126"/>
      <c r="C4" s="126"/>
      <c r="D4" s="126"/>
      <c r="E4" s="126"/>
      <c r="F4" s="126"/>
      <c r="G4" s="126"/>
      <c r="H4" s="126"/>
      <c r="I4" s="126"/>
      <c r="L4" s="143" t="s">
        <v>143</v>
      </c>
      <c r="M4" s="53">
        <v>25</v>
      </c>
      <c r="N4" s="54">
        <v>50</v>
      </c>
      <c r="O4" s="54">
        <v>150</v>
      </c>
      <c r="P4" s="54">
        <v>125</v>
      </c>
    </row>
    <row r="5" spans="1:16" ht="31.5" x14ac:dyDescent="0.2">
      <c r="A5" s="127" t="s">
        <v>1</v>
      </c>
      <c r="B5" s="127" t="s">
        <v>2</v>
      </c>
      <c r="C5" s="127"/>
      <c r="D5" s="151"/>
      <c r="E5" s="151"/>
      <c r="F5" s="151"/>
      <c r="G5" s="151"/>
      <c r="H5" s="151"/>
      <c r="I5" s="151"/>
      <c r="J5" s="151"/>
      <c r="K5" s="151"/>
      <c r="L5" s="142"/>
      <c r="M5" s="145" t="s">
        <v>144</v>
      </c>
      <c r="N5" s="145" t="s">
        <v>232</v>
      </c>
      <c r="O5" s="145" t="s">
        <v>157</v>
      </c>
      <c r="P5" s="145" t="s">
        <v>233</v>
      </c>
    </row>
    <row r="6" spans="1:16" ht="31.5" x14ac:dyDescent="0.2">
      <c r="A6" s="151"/>
      <c r="B6" s="151"/>
      <c r="C6" s="126" t="s">
        <v>160</v>
      </c>
      <c r="D6" s="151"/>
      <c r="E6" s="151"/>
      <c r="F6" s="151"/>
      <c r="G6" s="151"/>
      <c r="H6" s="8">
        <v>15.67</v>
      </c>
      <c r="I6" s="151" t="s">
        <v>4</v>
      </c>
      <c r="J6" s="151"/>
      <c r="K6" s="144" t="str">
        <f>IF(H6="","Bitte ausfüllen!",IF(H62="","Der voreingetragene produktive Stundenlohn ist eine Mindestanforderung. Inhalt der gelben Zellen kann angepasst werden.",""))</f>
        <v>Der voreingetragene produktive Stundenlohn ist eine Mindestanforderung. Inhalt der gelben Zellen kann angepasst werden.</v>
      </c>
      <c r="L6" s="142"/>
      <c r="M6" s="146" t="s">
        <v>4</v>
      </c>
      <c r="N6" s="146" t="s">
        <v>4</v>
      </c>
      <c r="O6" s="146" t="s">
        <v>4</v>
      </c>
      <c r="P6" s="146" t="s">
        <v>4</v>
      </c>
    </row>
    <row r="7" spans="1:16" ht="25.5" customHeight="1" x14ac:dyDescent="0.2">
      <c r="A7" s="152"/>
      <c r="C7" s="126" t="s">
        <v>101</v>
      </c>
      <c r="H7" s="8">
        <v>0.75</v>
      </c>
      <c r="I7" s="151" t="s">
        <v>4</v>
      </c>
      <c r="K7" s="129" t="str">
        <f>IF(H7="","Bitte ausfüllen!","")</f>
        <v/>
      </c>
      <c r="L7" s="143" t="s">
        <v>145</v>
      </c>
      <c r="M7" s="147" t="str">
        <f>IF($H$63="","",ROUND(M3/100*$H$8,2))</f>
        <v/>
      </c>
      <c r="N7" s="147" t="str">
        <f>IF($H$63="","",ROUND(N3/100*$H$8,2))</f>
        <v/>
      </c>
      <c r="O7" s="147" t="str">
        <f>IF($H$63="","",ROUND(O3/100*$H$8,2))</f>
        <v/>
      </c>
      <c r="P7" s="147" t="str">
        <f>IF($H$63="","",ROUND(P3/100*$H$8,2))</f>
        <v/>
      </c>
    </row>
    <row r="8" spans="1:16" x14ac:dyDescent="0.2">
      <c r="A8" s="151"/>
      <c r="B8" s="151"/>
      <c r="C8" s="151"/>
      <c r="D8" s="151"/>
      <c r="E8" s="151"/>
      <c r="F8" s="183">
        <v>100</v>
      </c>
      <c r="G8" s="151" t="s">
        <v>3</v>
      </c>
      <c r="H8" s="184">
        <f>IF(H6="",0,H6+H7)</f>
        <v>16.420000000000002</v>
      </c>
      <c r="I8" s="151" t="s">
        <v>4</v>
      </c>
      <c r="J8" s="151"/>
      <c r="K8" s="129"/>
      <c r="L8" s="142"/>
      <c r="M8" s="143"/>
      <c r="N8" s="143"/>
      <c r="O8" s="143"/>
      <c r="P8" s="143"/>
    </row>
    <row r="9" spans="1:16" x14ac:dyDescent="0.2">
      <c r="A9" s="127" t="s">
        <v>5</v>
      </c>
      <c r="B9" s="127" t="s">
        <v>6</v>
      </c>
      <c r="C9" s="127"/>
      <c r="D9" s="127"/>
      <c r="E9" s="127"/>
      <c r="F9" s="131"/>
      <c r="G9" s="127"/>
      <c r="H9" s="131"/>
      <c r="I9" s="127"/>
      <c r="L9" s="143" t="s">
        <v>146</v>
      </c>
      <c r="M9" s="147">
        <f>$H$8*(M4/100)</f>
        <v>4.1050000000000004</v>
      </c>
      <c r="N9" s="147">
        <f>$H$8*(N4/100)</f>
        <v>8.2100000000000009</v>
      </c>
      <c r="O9" s="147">
        <f>$H$8*(O4/100)</f>
        <v>24.630000000000003</v>
      </c>
      <c r="P9" s="147">
        <f>$H$8*(P4/100)</f>
        <v>20.525000000000002</v>
      </c>
    </row>
    <row r="10" spans="1:16" ht="14.25" x14ac:dyDescent="0.2">
      <c r="A10" s="126" t="s">
        <v>7</v>
      </c>
      <c r="B10" s="126" t="s">
        <v>8</v>
      </c>
      <c r="C10" s="126"/>
      <c r="D10" s="126"/>
      <c r="E10" s="126"/>
      <c r="F10" s="131"/>
      <c r="G10" s="131"/>
      <c r="H10" s="131"/>
      <c r="I10" s="131"/>
      <c r="K10" s="132"/>
      <c r="L10" s="143" t="s">
        <v>147</v>
      </c>
      <c r="M10" s="148" t="str">
        <f>IF(M3&lt;M4,0,IF(M7="","",M7-M9))</f>
        <v/>
      </c>
      <c r="N10" s="148" t="str">
        <f>IF(N7="","",N7-N9)</f>
        <v/>
      </c>
      <c r="O10" s="148" t="str">
        <f>IF(O7="","",O7-O9)</f>
        <v/>
      </c>
      <c r="P10" s="148" t="str">
        <f>IF(P7="","",P7-P9)</f>
        <v/>
      </c>
    </row>
    <row r="11" spans="1:16" x14ac:dyDescent="0.2">
      <c r="A11" s="126" t="s">
        <v>9</v>
      </c>
      <c r="B11" s="126"/>
      <c r="C11" s="126" t="s">
        <v>10</v>
      </c>
      <c r="D11" s="126"/>
      <c r="E11" s="126"/>
      <c r="F11" s="13"/>
      <c r="G11" s="126" t="s">
        <v>3</v>
      </c>
      <c r="H11" s="133" t="str">
        <f>IF(F11="","",ROUND(F11/100*$H$8,2))</f>
        <v/>
      </c>
      <c r="I11" s="126" t="s">
        <v>4</v>
      </c>
      <c r="K11" s="129" t="str">
        <f>IF(F11="","Bitte ausfüllen!","")</f>
        <v>Bitte ausfüllen!</v>
      </c>
      <c r="L11" s="143"/>
      <c r="M11" s="143"/>
      <c r="N11" s="143"/>
      <c r="O11" s="143"/>
      <c r="P11" s="143"/>
    </row>
    <row r="12" spans="1:16" x14ac:dyDescent="0.2">
      <c r="A12" s="126" t="s">
        <v>11</v>
      </c>
      <c r="B12" s="126"/>
      <c r="C12" s="126" t="s">
        <v>12</v>
      </c>
      <c r="D12" s="126"/>
      <c r="E12" s="126"/>
      <c r="F12" s="13"/>
      <c r="G12" s="126" t="s">
        <v>3</v>
      </c>
      <c r="H12" s="133" t="str">
        <f>IF(F12="","",ROUND(F12/100*$H$8,2))</f>
        <v/>
      </c>
      <c r="I12" s="126" t="s">
        <v>4</v>
      </c>
      <c r="K12" s="129" t="str">
        <f>IF(F12="","Bitte ausfüllen!","")</f>
        <v>Bitte ausfüllen!</v>
      </c>
      <c r="L12" s="143" t="s">
        <v>148</v>
      </c>
      <c r="M12" s="147" t="str">
        <f>IF(M10="","",$D19%*M$10)</f>
        <v/>
      </c>
      <c r="N12" s="147" t="str">
        <f>IF(N10="","",$D19%*N$10)</f>
        <v/>
      </c>
      <c r="O12" s="147" t="str">
        <f>IF(O10="","",$D19%*O$10)</f>
        <v/>
      </c>
      <c r="P12" s="147" t="str">
        <f>IF(P10="","",$D19%*P$10)</f>
        <v/>
      </c>
    </row>
    <row r="13" spans="1:16" x14ac:dyDescent="0.2">
      <c r="A13" s="126" t="s">
        <v>13</v>
      </c>
      <c r="B13" s="126"/>
      <c r="C13" s="126" t="s">
        <v>14</v>
      </c>
      <c r="D13" s="126"/>
      <c r="E13" s="126"/>
      <c r="F13" s="13"/>
      <c r="G13" s="126" t="s">
        <v>3</v>
      </c>
      <c r="H13" s="133" t="str">
        <f>IF(F13="","",ROUND(F13/100*$H$8,2))</f>
        <v/>
      </c>
      <c r="I13" s="126" t="s">
        <v>4</v>
      </c>
      <c r="K13" s="129" t="str">
        <f>IF(F13="","Bitte ausfüllen!","")</f>
        <v>Bitte ausfüllen!</v>
      </c>
      <c r="L13" s="143" t="s">
        <v>23</v>
      </c>
      <c r="M13" s="147" t="str">
        <f t="shared" ref="M13:M21" si="0">IF(M12="","",$D20%*M$10)</f>
        <v/>
      </c>
      <c r="N13" s="147" t="str">
        <f t="shared" ref="N13:N21" si="1">IF(N12="","",$D20%*N$10)</f>
        <v/>
      </c>
      <c r="O13" s="147" t="str">
        <f t="shared" ref="O13:O21" si="2">IF(O12="","",$D20%*O$10)</f>
        <v/>
      </c>
      <c r="P13" s="147" t="str">
        <f t="shared" ref="P13:P21" si="3">IF(P12="","",$D20%*P$10)</f>
        <v/>
      </c>
    </row>
    <row r="14" spans="1:16" x14ac:dyDescent="0.2">
      <c r="A14" s="126" t="s">
        <v>15</v>
      </c>
      <c r="B14" s="126"/>
      <c r="C14" s="126" t="s">
        <v>16</v>
      </c>
      <c r="D14" s="126"/>
      <c r="E14" s="126"/>
      <c r="F14" s="13"/>
      <c r="G14" s="126" t="s">
        <v>3</v>
      </c>
      <c r="H14" s="133" t="str">
        <f>IF(F14="","",ROUND(F14/100*$H$8,2))</f>
        <v/>
      </c>
      <c r="I14" s="126" t="s">
        <v>4</v>
      </c>
      <c r="K14" s="129" t="str">
        <f>IF(F14="","Bitte ausfüllen!","")</f>
        <v>Bitte ausfüllen!</v>
      </c>
      <c r="L14" s="143" t="s">
        <v>149</v>
      </c>
      <c r="M14" s="147" t="str">
        <f t="shared" si="0"/>
        <v/>
      </c>
      <c r="N14" s="147" t="str">
        <f t="shared" si="1"/>
        <v/>
      </c>
      <c r="O14" s="147" t="str">
        <f t="shared" si="2"/>
        <v/>
      </c>
      <c r="P14" s="147" t="str">
        <f t="shared" si="3"/>
        <v/>
      </c>
    </row>
    <row r="15" spans="1:16" x14ac:dyDescent="0.2">
      <c r="A15" s="126" t="s">
        <v>17</v>
      </c>
      <c r="B15" s="126"/>
      <c r="C15" s="126" t="s">
        <v>18</v>
      </c>
      <c r="D15" s="126"/>
      <c r="E15" s="126"/>
      <c r="F15" s="13"/>
      <c r="G15" s="126" t="s">
        <v>3</v>
      </c>
      <c r="H15" s="133" t="str">
        <f>IF(F15="","",ROUND(F15/100*$H$8,2))</f>
        <v/>
      </c>
      <c r="I15" s="126" t="s">
        <v>4</v>
      </c>
      <c r="K15" s="129" t="str">
        <f>IF(F15="","Bitte ausfüllen!","")</f>
        <v>Bitte ausfüllen!</v>
      </c>
      <c r="L15" s="143" t="s">
        <v>25</v>
      </c>
      <c r="M15" s="147" t="str">
        <f t="shared" si="0"/>
        <v/>
      </c>
      <c r="N15" s="147" t="str">
        <f t="shared" si="1"/>
        <v/>
      </c>
      <c r="O15" s="147" t="str">
        <f t="shared" si="2"/>
        <v/>
      </c>
      <c r="P15" s="147" t="str">
        <f t="shared" si="3"/>
        <v/>
      </c>
    </row>
    <row r="16" spans="1:16" x14ac:dyDescent="0.2">
      <c r="A16" s="127"/>
      <c r="B16" s="127" t="s">
        <v>19</v>
      </c>
      <c r="C16" s="127"/>
      <c r="D16" s="127"/>
      <c r="E16" s="127"/>
      <c r="F16" s="134">
        <f>IF(SUM(F11:F15)=0,0,SUM(F11:F15))</f>
        <v>0</v>
      </c>
      <c r="G16" s="127" t="s">
        <v>3</v>
      </c>
      <c r="H16" s="135" t="str">
        <f>IF(SUM(H11:H15)=0,"",SUM(H11:H15))</f>
        <v/>
      </c>
      <c r="I16" s="127" t="s">
        <v>4</v>
      </c>
      <c r="K16" s="129" t="str">
        <f>IF(H16="","Angaben offen!","")</f>
        <v>Angaben offen!</v>
      </c>
      <c r="L16" s="143" t="s">
        <v>150</v>
      </c>
      <c r="M16" s="147" t="str">
        <f t="shared" si="0"/>
        <v/>
      </c>
      <c r="N16" s="147" t="str">
        <f t="shared" si="1"/>
        <v/>
      </c>
      <c r="O16" s="147" t="str">
        <f t="shared" si="2"/>
        <v/>
      </c>
      <c r="P16" s="147" t="str">
        <f t="shared" si="3"/>
        <v/>
      </c>
    </row>
    <row r="17" spans="1:17" x14ac:dyDescent="0.2">
      <c r="A17" s="126"/>
      <c r="B17" s="126"/>
      <c r="C17" s="126"/>
      <c r="D17" s="126"/>
      <c r="E17" s="126"/>
      <c r="F17" s="130"/>
      <c r="G17" s="126"/>
      <c r="H17" s="130"/>
      <c r="I17" s="126"/>
      <c r="L17" s="143" t="s">
        <v>27</v>
      </c>
      <c r="M17" s="147" t="str">
        <f t="shared" si="0"/>
        <v/>
      </c>
      <c r="N17" s="147" t="str">
        <f t="shared" si="1"/>
        <v/>
      </c>
      <c r="O17" s="147" t="str">
        <f t="shared" si="2"/>
        <v/>
      </c>
      <c r="P17" s="147" t="str">
        <f t="shared" si="3"/>
        <v/>
      </c>
    </row>
    <row r="18" spans="1:17" x14ac:dyDescent="0.2">
      <c r="A18" s="127" t="s">
        <v>20</v>
      </c>
      <c r="B18" s="127" t="s">
        <v>21</v>
      </c>
      <c r="C18" s="127"/>
      <c r="D18" s="127"/>
      <c r="E18" s="127"/>
      <c r="F18" s="131"/>
      <c r="G18" s="127"/>
      <c r="H18" s="131"/>
      <c r="I18" s="127"/>
      <c r="L18" s="143" t="s">
        <v>151</v>
      </c>
      <c r="M18" s="147" t="str">
        <f t="shared" si="0"/>
        <v/>
      </c>
      <c r="N18" s="147" t="str">
        <f t="shared" si="1"/>
        <v/>
      </c>
      <c r="O18" s="147" t="str">
        <f t="shared" si="2"/>
        <v/>
      </c>
      <c r="P18" s="147" t="str">
        <f t="shared" si="3"/>
        <v/>
      </c>
    </row>
    <row r="19" spans="1:17" ht="11.25" x14ac:dyDescent="0.2">
      <c r="A19" s="126" t="s">
        <v>22</v>
      </c>
      <c r="B19" s="126" t="s">
        <v>127</v>
      </c>
      <c r="C19" s="126"/>
      <c r="D19" s="9">
        <f>D74</f>
        <v>7.3</v>
      </c>
      <c r="E19" s="126" t="s">
        <v>3</v>
      </c>
      <c r="F19" s="130"/>
      <c r="G19" s="126"/>
      <c r="H19" s="130"/>
      <c r="I19" s="126"/>
      <c r="K19" s="129" t="str">
        <f>IF(D19&lt;D74,"Wert prüfen!",IF(H63="","Inhalt der gelben Zellen kann angepasst werden.",""))</f>
        <v>Inhalt der gelben Zellen kann angepasst werden.</v>
      </c>
      <c r="L19" s="143" t="s">
        <v>29</v>
      </c>
      <c r="M19" s="147" t="str">
        <f t="shared" si="0"/>
        <v/>
      </c>
      <c r="N19" s="147" t="str">
        <f t="shared" si="1"/>
        <v/>
      </c>
      <c r="O19" s="147" t="str">
        <f t="shared" si="2"/>
        <v/>
      </c>
      <c r="P19" s="147" t="str">
        <f t="shared" si="3"/>
        <v/>
      </c>
    </row>
    <row r="20" spans="1:17" x14ac:dyDescent="0.2">
      <c r="A20" s="126"/>
      <c r="B20" s="126" t="s">
        <v>23</v>
      </c>
      <c r="C20" s="126"/>
      <c r="D20" s="136">
        <f>(D19/100)*$F$16</f>
        <v>0</v>
      </c>
      <c r="E20" s="126" t="s">
        <v>3</v>
      </c>
      <c r="F20" s="137">
        <f>IF(D20="","",D19+D20)</f>
        <v>7.3</v>
      </c>
      <c r="G20" s="126" t="s">
        <v>3</v>
      </c>
      <c r="H20" s="133">
        <f>IF(D20="","",ROUND(F20/100*$H$8,2))</f>
        <v>1.2</v>
      </c>
      <c r="I20" s="126" t="s">
        <v>4</v>
      </c>
      <c r="K20" s="129"/>
      <c r="L20" s="143" t="s">
        <v>152</v>
      </c>
      <c r="M20" s="147" t="str">
        <f t="shared" si="0"/>
        <v/>
      </c>
      <c r="N20" s="147" t="str">
        <f t="shared" si="1"/>
        <v/>
      </c>
      <c r="O20" s="147" t="str">
        <f t="shared" si="2"/>
        <v/>
      </c>
      <c r="P20" s="147" t="str">
        <f t="shared" si="3"/>
        <v/>
      </c>
    </row>
    <row r="21" spans="1:17" ht="11.25" x14ac:dyDescent="0.2">
      <c r="A21" s="126" t="s">
        <v>24</v>
      </c>
      <c r="B21" s="126" t="s">
        <v>128</v>
      </c>
      <c r="C21" s="126"/>
      <c r="D21" s="9">
        <f>D75</f>
        <v>9.3000000000000007</v>
      </c>
      <c r="E21" s="126" t="s">
        <v>3</v>
      </c>
      <c r="F21" s="138"/>
      <c r="G21" s="126"/>
      <c r="H21" s="130"/>
      <c r="I21" s="126"/>
      <c r="K21" s="129" t="str">
        <f>IF(D21&lt;&gt;D75,"Wert prüfen!",IF(H63="","Inhalt der gelben Zellen kann angepasst werden.",""))</f>
        <v>Inhalt der gelben Zellen kann angepasst werden.</v>
      </c>
      <c r="L21" s="143" t="s">
        <v>31</v>
      </c>
      <c r="M21" s="147" t="str">
        <f t="shared" si="0"/>
        <v/>
      </c>
      <c r="N21" s="147" t="str">
        <f t="shared" si="1"/>
        <v/>
      </c>
      <c r="O21" s="147" t="str">
        <f t="shared" si="2"/>
        <v/>
      </c>
      <c r="P21" s="147" t="str">
        <f t="shared" si="3"/>
        <v/>
      </c>
    </row>
    <row r="22" spans="1:17" x14ac:dyDescent="0.2">
      <c r="A22" s="126"/>
      <c r="B22" s="126" t="s">
        <v>25</v>
      </c>
      <c r="C22" s="126"/>
      <c r="D22" s="136">
        <f>(D21/100)*$F$16</f>
        <v>0</v>
      </c>
      <c r="E22" s="126" t="s">
        <v>3</v>
      </c>
      <c r="F22" s="137">
        <f>IF(D22="","",D21+D22)</f>
        <v>9.3000000000000007</v>
      </c>
      <c r="G22" s="126" t="s">
        <v>3</v>
      </c>
      <c r="H22" s="133">
        <f>IF(D22="","",ROUND(F22/100*$H$8,2))</f>
        <v>1.53</v>
      </c>
      <c r="I22" s="126" t="s">
        <v>4</v>
      </c>
      <c r="K22" s="129"/>
      <c r="L22" s="143" t="s">
        <v>153</v>
      </c>
      <c r="M22" s="147" t="str">
        <f>IF($F$29="","",ROUND($F$29/100*M7,2))</f>
        <v/>
      </c>
      <c r="N22" s="147" t="str">
        <f>IF($F$29="","",ROUND($F$29/100*N7,2))</f>
        <v/>
      </c>
      <c r="O22" s="147" t="str">
        <f>IF($F$29="","",ROUND($F$29/100*O7,2))</f>
        <v/>
      </c>
      <c r="P22" s="147" t="str">
        <f>IF($F$29="","",ROUND($F$29/100*P7,2))</f>
        <v/>
      </c>
    </row>
    <row r="23" spans="1:17" ht="11.25" x14ac:dyDescent="0.2">
      <c r="A23" s="126" t="s">
        <v>26</v>
      </c>
      <c r="B23" s="126" t="s">
        <v>129</v>
      </c>
      <c r="C23" s="126"/>
      <c r="D23" s="9">
        <f>D76</f>
        <v>1.3</v>
      </c>
      <c r="E23" s="126" t="s">
        <v>3</v>
      </c>
      <c r="F23" s="138"/>
      <c r="G23" s="126"/>
      <c r="H23" s="130"/>
      <c r="I23" s="126"/>
      <c r="K23" s="129" t="str">
        <f>IF(D23&lt;&gt;D76,"Wert prüfen!",IF(H63="","Inhalt der gelben Zellen kann angepasst werden.",""))</f>
        <v>Inhalt der gelben Zellen kann angepasst werden.</v>
      </c>
      <c r="L23" s="142" t="s">
        <v>37</v>
      </c>
      <c r="M23" s="143" t="str">
        <f>IF($F$34="","",ROUND($F$34/100*M7,2))</f>
        <v/>
      </c>
      <c r="N23" s="143" t="str">
        <f t="shared" ref="N23:P23" si="4">IF($F$34="","",ROUND($F$34/100*N7,2))</f>
        <v/>
      </c>
      <c r="O23" s="143" t="str">
        <f t="shared" si="4"/>
        <v/>
      </c>
      <c r="P23" s="143" t="str">
        <f t="shared" si="4"/>
        <v/>
      </c>
      <c r="Q23" s="22"/>
    </row>
    <row r="24" spans="1:17" x14ac:dyDescent="0.2">
      <c r="A24" s="126"/>
      <c r="B24" s="126" t="s">
        <v>27</v>
      </c>
      <c r="C24" s="126"/>
      <c r="D24" s="136">
        <f>(D23/100)*$F$16</f>
        <v>0</v>
      </c>
      <c r="E24" s="126" t="s">
        <v>3</v>
      </c>
      <c r="F24" s="137">
        <f>IF(D24="","",D23+D24)</f>
        <v>1.3</v>
      </c>
      <c r="G24" s="126" t="s">
        <v>3</v>
      </c>
      <c r="H24" s="133">
        <f>IF(D24="","",ROUND(F24/100*$H$8,2))</f>
        <v>0.21</v>
      </c>
      <c r="I24" s="126" t="s">
        <v>4</v>
      </c>
      <c r="K24" s="129"/>
      <c r="L24" s="143" t="s">
        <v>154</v>
      </c>
      <c r="M24" s="147">
        <f>SUM(M12:M23)</f>
        <v>0</v>
      </c>
      <c r="N24" s="147">
        <f t="shared" ref="N24:P24" si="5">SUM(N12:N23)</f>
        <v>0</v>
      </c>
      <c r="O24" s="147">
        <f t="shared" si="5"/>
        <v>0</v>
      </c>
      <c r="P24" s="147">
        <f t="shared" si="5"/>
        <v>0</v>
      </c>
    </row>
    <row r="25" spans="1:17" ht="11.25" x14ac:dyDescent="0.2">
      <c r="A25" s="126" t="s">
        <v>28</v>
      </c>
      <c r="B25" s="126" t="s">
        <v>130</v>
      </c>
      <c r="C25" s="126"/>
      <c r="D25" s="9">
        <f>D77</f>
        <v>1.8</v>
      </c>
      <c r="E25" s="126" t="s">
        <v>3</v>
      </c>
      <c r="F25" s="138"/>
      <c r="G25" s="126"/>
      <c r="H25" s="130"/>
      <c r="I25" s="126"/>
      <c r="K25" s="129" t="str">
        <f>IF(D25&lt;&gt;D77,"Wert prüfen!",IF(H63="","Inhalt der gelben Zellen kann angepasst werden.",""))</f>
        <v>Inhalt der gelben Zellen kann angepasst werden.</v>
      </c>
      <c r="L25" s="143" t="s">
        <v>155</v>
      </c>
      <c r="M25" s="148" t="str">
        <f>IF(M7="","",(SUM(M12:M23)+M7))</f>
        <v/>
      </c>
      <c r="N25" s="148" t="str">
        <f t="shared" ref="N25:P25" si="6">IF(N7="","",(SUM(N12:N23)+N7))</f>
        <v/>
      </c>
      <c r="O25" s="148" t="str">
        <f t="shared" si="6"/>
        <v/>
      </c>
      <c r="P25" s="148" t="str">
        <f t="shared" si="6"/>
        <v/>
      </c>
    </row>
    <row r="26" spans="1:17" x14ac:dyDescent="0.2">
      <c r="A26" s="126"/>
      <c r="B26" s="126" t="s">
        <v>29</v>
      </c>
      <c r="C26" s="126"/>
      <c r="D26" s="136">
        <f>(D25/100)*$F$16</f>
        <v>0</v>
      </c>
      <c r="E26" s="126" t="s">
        <v>3</v>
      </c>
      <c r="F26" s="137">
        <f>IF(D26="","",D25+D26)</f>
        <v>1.8</v>
      </c>
      <c r="G26" s="126" t="s">
        <v>3</v>
      </c>
      <c r="H26" s="133">
        <f>IF(D26="","",ROUND(F26/100*$H$8,2))</f>
        <v>0.3</v>
      </c>
      <c r="I26" s="126" t="s">
        <v>4</v>
      </c>
      <c r="K26" s="129"/>
      <c r="L26" s="143"/>
      <c r="M26" s="143"/>
      <c r="N26" s="143"/>
      <c r="O26" s="143"/>
      <c r="P26" s="143"/>
    </row>
    <row r="27" spans="1:17" ht="11.25" x14ac:dyDescent="0.2">
      <c r="A27" s="126" t="s">
        <v>30</v>
      </c>
      <c r="B27" s="126" t="s">
        <v>131</v>
      </c>
      <c r="C27" s="126"/>
      <c r="D27" s="9"/>
      <c r="E27" s="126" t="s">
        <v>3</v>
      </c>
      <c r="F27" s="138"/>
      <c r="G27" s="126"/>
      <c r="H27" s="130"/>
      <c r="I27" s="126"/>
      <c r="K27" s="129" t="str">
        <f>IF(D27="","Bitte ausfüllen!","")</f>
        <v>Bitte ausfüllen!</v>
      </c>
      <c r="L27" s="143" t="s">
        <v>156</v>
      </c>
      <c r="M27" s="150" t="str">
        <f>IF(M25="","",ROUND($H$63+M25,2))</f>
        <v/>
      </c>
      <c r="N27" s="150" t="str">
        <f t="shared" ref="N27:P27" si="7">IF(N25="","",ROUND($H$63+N25,2))</f>
        <v/>
      </c>
      <c r="O27" s="150" t="str">
        <f t="shared" si="7"/>
        <v/>
      </c>
      <c r="P27" s="150" t="str">
        <f t="shared" si="7"/>
        <v/>
      </c>
    </row>
    <row r="28" spans="1:17" x14ac:dyDescent="0.2">
      <c r="A28" s="126"/>
      <c r="B28" s="126" t="s">
        <v>31</v>
      </c>
      <c r="C28" s="126"/>
      <c r="D28" s="136">
        <f>(D27/100)*$F$16</f>
        <v>0</v>
      </c>
      <c r="E28" s="126" t="s">
        <v>3</v>
      </c>
      <c r="F28" s="137">
        <f>IF(D28="","",D27+D28)</f>
        <v>0</v>
      </c>
      <c r="G28" s="126" t="s">
        <v>3</v>
      </c>
      <c r="H28" s="133">
        <f>IF(D28="","",ROUND(F28/100*$H$8,2))</f>
        <v>0</v>
      </c>
      <c r="I28" s="126" t="s">
        <v>4</v>
      </c>
      <c r="K28" s="129"/>
    </row>
    <row r="29" spans="1:17" ht="10.5" customHeight="1" x14ac:dyDescent="0.2">
      <c r="A29" s="126" t="s">
        <v>32</v>
      </c>
      <c r="B29" s="126" t="s">
        <v>132</v>
      </c>
      <c r="C29" s="126"/>
      <c r="D29" s="126"/>
      <c r="E29" s="126"/>
      <c r="F29" s="9"/>
      <c r="G29" s="126" t="s">
        <v>3</v>
      </c>
      <c r="H29" s="133" t="str">
        <f>IF(F29="","",ROUND(F29/100*$H$8,2))</f>
        <v/>
      </c>
      <c r="I29" s="126" t="s">
        <v>4</v>
      </c>
      <c r="K29" s="129" t="str">
        <f>IF(F29="","Bitte ausfüllen!","")</f>
        <v>Bitte ausfüllen!</v>
      </c>
    </row>
    <row r="30" spans="1:17" ht="11.25" x14ac:dyDescent="0.2">
      <c r="A30" s="126" t="s">
        <v>33</v>
      </c>
      <c r="B30" s="126" t="s">
        <v>133</v>
      </c>
      <c r="C30" s="126"/>
      <c r="D30" s="126"/>
      <c r="E30" s="126"/>
      <c r="F30" s="9">
        <f>D80</f>
        <v>0.15</v>
      </c>
      <c r="G30" s="126" t="s">
        <v>3</v>
      </c>
      <c r="H30" s="133">
        <f>IF(F30="","",ROUND(F30/100*$H$8,2))</f>
        <v>0.02</v>
      </c>
      <c r="I30" s="126" t="s">
        <v>4</v>
      </c>
      <c r="K30" s="129" t="str">
        <f>IF(F30&lt;&gt;D80,"Wert prüfen!",IF(H63="","Inhalt der gelben Zellen kann angepasst werden.",""))</f>
        <v>Inhalt der gelben Zellen kann angepasst werden.</v>
      </c>
    </row>
    <row r="31" spans="1:17" ht="25.5" customHeight="1" x14ac:dyDescent="0.2">
      <c r="A31" s="127"/>
      <c r="B31" s="212" t="s">
        <v>34</v>
      </c>
      <c r="C31" s="212"/>
      <c r="D31" s="127"/>
      <c r="E31" s="127"/>
      <c r="F31" s="134">
        <f>IF(SUM(F19:F30)=0,0,SUM(F19:F30)+F16)</f>
        <v>19.850000000000001</v>
      </c>
      <c r="G31" s="127" t="s">
        <v>3</v>
      </c>
      <c r="H31" s="135" t="str">
        <f>IF(OR(COUNTIF(D19:D28,"")&gt;0,COUNTIF(F29:F30,"")&gt;0),"",SUM(H19:H30)+H16)</f>
        <v/>
      </c>
      <c r="I31" s="127" t="s">
        <v>4</v>
      </c>
      <c r="K31" s="129" t="str">
        <f>IF(H31="","Angaben offen!","")</f>
        <v>Angaben offen!</v>
      </c>
      <c r="O31" s="3"/>
      <c r="P31" s="3"/>
    </row>
    <row r="32" spans="1:17" x14ac:dyDescent="0.2">
      <c r="A32" s="126"/>
      <c r="B32" s="126"/>
      <c r="C32" s="126"/>
      <c r="D32" s="126"/>
      <c r="E32" s="126"/>
      <c r="F32" s="130"/>
      <c r="G32" s="126"/>
      <c r="H32" s="130"/>
      <c r="I32" s="126"/>
      <c r="O32" s="3"/>
      <c r="P32" s="3"/>
    </row>
    <row r="33" spans="1:16" x14ac:dyDescent="0.2">
      <c r="A33" s="126"/>
      <c r="B33" s="127" t="s">
        <v>35</v>
      </c>
      <c r="C33" s="126"/>
      <c r="D33" s="126"/>
      <c r="E33" s="126"/>
      <c r="F33" s="130"/>
      <c r="G33" s="126"/>
      <c r="H33" s="130"/>
      <c r="I33" s="126"/>
      <c r="O33" s="3"/>
      <c r="P33" s="3"/>
    </row>
    <row r="34" spans="1:16" ht="10.5" customHeight="1" x14ac:dyDescent="0.2">
      <c r="A34" s="126" t="s">
        <v>36</v>
      </c>
      <c r="B34" s="126" t="s">
        <v>37</v>
      </c>
      <c r="C34" s="126"/>
      <c r="D34" s="126"/>
      <c r="E34" s="126"/>
      <c r="F34" s="13"/>
      <c r="G34" s="126" t="s">
        <v>3</v>
      </c>
      <c r="H34" s="133" t="str">
        <f>IF(F34="","",ROUND(F34/100*$H$8,2))</f>
        <v/>
      </c>
      <c r="I34" s="126" t="s">
        <v>4</v>
      </c>
      <c r="K34" s="129" t="str">
        <f>IF(F34="","Bitte ausfüllen!","")</f>
        <v>Bitte ausfüllen!</v>
      </c>
      <c r="O34" s="3"/>
      <c r="P34" s="3"/>
    </row>
    <row r="35" spans="1:16" x14ac:dyDescent="0.2">
      <c r="A35" s="126" t="s">
        <v>38</v>
      </c>
      <c r="B35" s="126" t="s">
        <v>39</v>
      </c>
      <c r="C35" s="126"/>
      <c r="D35" s="126"/>
      <c r="E35" s="126"/>
      <c r="F35" s="13"/>
      <c r="G35" s="126" t="s">
        <v>3</v>
      </c>
      <c r="H35" s="133" t="str">
        <f>IF(F35="","",ROUND(F35/100*$H$8,2))</f>
        <v/>
      </c>
      <c r="I35" s="126" t="s">
        <v>4</v>
      </c>
      <c r="K35" s="129" t="str">
        <f>IF(F35="","Bitte ausfüllen!","")</f>
        <v>Bitte ausfüllen!</v>
      </c>
      <c r="O35" s="3"/>
      <c r="P35" s="3"/>
    </row>
    <row r="36" spans="1:16" ht="25.5" customHeight="1" x14ac:dyDescent="0.2">
      <c r="A36" s="127"/>
      <c r="B36" s="212" t="s">
        <v>40</v>
      </c>
      <c r="C36" s="212"/>
      <c r="D36" s="127"/>
      <c r="E36" s="127"/>
      <c r="F36" s="134">
        <f>IF(SUM(F34:F35)=0,0,SUM(F34:F35)+F31)</f>
        <v>0</v>
      </c>
      <c r="G36" s="127" t="s">
        <v>3</v>
      </c>
      <c r="H36" s="135" t="str">
        <f>IF(SUM(H34:H35)=0,"",SUM(H34:H35)+H31)</f>
        <v/>
      </c>
      <c r="I36" s="127" t="s">
        <v>4</v>
      </c>
      <c r="K36" s="129" t="str">
        <f>IF(H36="","Angaben offen!","")</f>
        <v>Angaben offen!</v>
      </c>
    </row>
    <row r="37" spans="1:16" x14ac:dyDescent="0.2">
      <c r="A37" s="126"/>
      <c r="B37" s="126"/>
      <c r="C37" s="126"/>
      <c r="D37" s="126"/>
      <c r="E37" s="126"/>
      <c r="F37" s="130"/>
      <c r="G37" s="126"/>
      <c r="H37" s="130"/>
      <c r="I37" s="126"/>
    </row>
    <row r="38" spans="1:16" x14ac:dyDescent="0.2">
      <c r="A38" s="127" t="s">
        <v>41</v>
      </c>
      <c r="B38" s="127" t="s">
        <v>42</v>
      </c>
      <c r="C38" s="127"/>
      <c r="D38" s="127"/>
      <c r="E38" s="127"/>
      <c r="F38" s="131"/>
      <c r="G38" s="127"/>
      <c r="H38" s="131"/>
      <c r="I38" s="127"/>
    </row>
    <row r="39" spans="1:16" x14ac:dyDescent="0.2">
      <c r="A39" s="126" t="s">
        <v>43</v>
      </c>
      <c r="B39" s="126" t="s">
        <v>44</v>
      </c>
      <c r="C39" s="126"/>
      <c r="D39" s="126"/>
      <c r="E39" s="126"/>
      <c r="F39" s="130"/>
      <c r="G39" s="126"/>
      <c r="H39" s="130"/>
      <c r="I39" s="126"/>
    </row>
    <row r="40" spans="1:16" x14ac:dyDescent="0.2">
      <c r="A40" s="126"/>
      <c r="B40" s="126" t="s">
        <v>45</v>
      </c>
      <c r="C40" s="126"/>
      <c r="D40" s="126"/>
      <c r="E40" s="126"/>
      <c r="F40" s="13"/>
      <c r="G40" s="126" t="s">
        <v>3</v>
      </c>
      <c r="H40" s="133" t="str">
        <f>IF(F40="","",ROUND(F40/100*$H$8,2))</f>
        <v/>
      </c>
      <c r="I40" s="126" t="s">
        <v>4</v>
      </c>
      <c r="K40" s="129" t="str">
        <f>IF(F40="","Bitte ausfüllen!","")</f>
        <v>Bitte ausfüllen!</v>
      </c>
    </row>
    <row r="41" spans="1:16" x14ac:dyDescent="0.2">
      <c r="A41" s="126" t="s">
        <v>46</v>
      </c>
      <c r="B41" s="126" t="s">
        <v>47</v>
      </c>
      <c r="C41" s="126"/>
      <c r="D41" s="126"/>
      <c r="E41" s="126"/>
      <c r="F41" s="13"/>
      <c r="G41" s="126" t="s">
        <v>3</v>
      </c>
      <c r="H41" s="133" t="str">
        <f>IF(F41="","",ROUND(F41/100*$H$8,2))</f>
        <v/>
      </c>
      <c r="I41" s="126" t="s">
        <v>4</v>
      </c>
      <c r="K41" s="129" t="str">
        <f>IF(F41="","Bitte ausfüllen!","")</f>
        <v>Bitte ausfüllen!</v>
      </c>
    </row>
    <row r="42" spans="1:16" ht="10.5" customHeight="1" x14ac:dyDescent="0.2">
      <c r="A42" s="126" t="s">
        <v>48</v>
      </c>
      <c r="B42" s="126" t="s">
        <v>49</v>
      </c>
      <c r="C42" s="126"/>
      <c r="D42" s="126"/>
      <c r="E42" s="126"/>
      <c r="F42" s="13"/>
      <c r="G42" s="126" t="s">
        <v>3</v>
      </c>
      <c r="H42" s="133" t="str">
        <f>IF(F42="","",ROUND(F42/100*$H$8,2))</f>
        <v/>
      </c>
      <c r="I42" s="126" t="s">
        <v>4</v>
      </c>
      <c r="K42" s="129" t="str">
        <f>IF(F42="","Bitte ausfüllen!","")</f>
        <v>Bitte ausfüllen!</v>
      </c>
    </row>
    <row r="43" spans="1:16" x14ac:dyDescent="0.2">
      <c r="A43" s="126" t="s">
        <v>50</v>
      </c>
      <c r="B43" s="126" t="s">
        <v>51</v>
      </c>
      <c r="C43" s="126"/>
      <c r="D43" s="126"/>
      <c r="E43" s="126"/>
      <c r="F43" s="13"/>
      <c r="G43" s="126" t="s">
        <v>3</v>
      </c>
      <c r="H43" s="133" t="str">
        <f>IF(F43="","",ROUND(F43/100*$H$8,2))</f>
        <v/>
      </c>
      <c r="I43" s="126" t="s">
        <v>4</v>
      </c>
      <c r="K43" s="129" t="str">
        <f>IF(F43="","Bitte ausfüllen!","")</f>
        <v>Bitte ausfüllen!</v>
      </c>
    </row>
    <row r="44" spans="1:16" ht="25.5" customHeight="1" x14ac:dyDescent="0.2">
      <c r="A44" s="127"/>
      <c r="B44" s="212" t="s">
        <v>52</v>
      </c>
      <c r="C44" s="212"/>
      <c r="D44" s="127"/>
      <c r="E44" s="127"/>
      <c r="F44" s="134">
        <f>IF(SUM(F40:F43)=0,0,SUM(F40:F43))</f>
        <v>0</v>
      </c>
      <c r="G44" s="127" t="s">
        <v>3</v>
      </c>
      <c r="H44" s="135" t="str">
        <f>IF(SUM(H40:H43)=0,"",SUM(H40:H43))</f>
        <v/>
      </c>
      <c r="I44" s="127" t="s">
        <v>4</v>
      </c>
      <c r="K44" s="129" t="str">
        <f>IF(H44="","Angaben offen!","")</f>
        <v>Angaben offen!</v>
      </c>
    </row>
    <row r="45" spans="1:16" x14ac:dyDescent="0.2">
      <c r="A45" s="126"/>
      <c r="B45" s="126"/>
      <c r="C45" s="126"/>
      <c r="D45" s="126"/>
      <c r="E45" s="126"/>
      <c r="F45" s="130"/>
      <c r="G45" s="126"/>
      <c r="H45" s="130"/>
      <c r="I45" s="126"/>
    </row>
    <row r="46" spans="1:16" x14ac:dyDescent="0.2">
      <c r="A46" s="127" t="s">
        <v>53</v>
      </c>
      <c r="B46" s="127" t="s">
        <v>54</v>
      </c>
      <c r="C46" s="127"/>
      <c r="D46" s="127"/>
      <c r="E46" s="127"/>
      <c r="F46" s="127"/>
      <c r="G46" s="127"/>
      <c r="H46" s="127"/>
      <c r="I46" s="127"/>
    </row>
    <row r="47" spans="1:16" x14ac:dyDescent="0.2">
      <c r="A47" s="126" t="s">
        <v>55</v>
      </c>
      <c r="B47" s="126" t="s">
        <v>56</v>
      </c>
      <c r="C47" s="126"/>
      <c r="D47" s="126"/>
      <c r="E47" s="126"/>
      <c r="F47" s="126"/>
      <c r="G47" s="126"/>
      <c r="H47" s="126"/>
      <c r="I47" s="126"/>
    </row>
    <row r="48" spans="1:16" x14ac:dyDescent="0.2">
      <c r="A48" s="126" t="s">
        <v>57</v>
      </c>
      <c r="B48" s="126"/>
      <c r="C48" s="126" t="s">
        <v>58</v>
      </c>
      <c r="D48" s="126"/>
      <c r="E48" s="126"/>
      <c r="F48" s="13"/>
      <c r="G48" s="126" t="s">
        <v>3</v>
      </c>
      <c r="H48" s="133" t="str">
        <f>IF(F48="","",ROUND(F48/100*$H$8,2))</f>
        <v/>
      </c>
      <c r="I48" s="126" t="s">
        <v>4</v>
      </c>
      <c r="K48" s="129" t="str">
        <f t="shared" ref="K48:K58" si="8">IF(F48="","Bitte ausfüllen!","")</f>
        <v>Bitte ausfüllen!</v>
      </c>
    </row>
    <row r="49" spans="1:11" x14ac:dyDescent="0.2">
      <c r="A49" s="126" t="s">
        <v>59</v>
      </c>
      <c r="B49" s="126"/>
      <c r="C49" s="126" t="s">
        <v>126</v>
      </c>
      <c r="D49" s="126"/>
      <c r="E49" s="126"/>
      <c r="F49" s="13"/>
      <c r="G49" s="126" t="s">
        <v>3</v>
      </c>
      <c r="H49" s="133" t="str">
        <f>IF(F49="","",ROUND(F49/100*$H$8,2))</f>
        <v/>
      </c>
      <c r="I49" s="126" t="s">
        <v>4</v>
      </c>
      <c r="K49" s="129" t="str">
        <f t="shared" si="8"/>
        <v>Bitte ausfüllen!</v>
      </c>
    </row>
    <row r="50" spans="1:11" x14ac:dyDescent="0.2">
      <c r="A50" s="126" t="s">
        <v>60</v>
      </c>
      <c r="B50" s="126" t="s">
        <v>61</v>
      </c>
      <c r="C50" s="126"/>
      <c r="D50" s="126"/>
      <c r="E50" s="126"/>
      <c r="F50" s="13"/>
      <c r="G50" s="126" t="s">
        <v>3</v>
      </c>
      <c r="H50" s="133" t="str">
        <f>IF(F50="","",ROUND(F50/100*$H$8,2))</f>
        <v/>
      </c>
      <c r="I50" s="126" t="s">
        <v>4</v>
      </c>
      <c r="K50" s="129" t="str">
        <f t="shared" si="8"/>
        <v>Bitte ausfüllen!</v>
      </c>
    </row>
    <row r="51" spans="1:11" x14ac:dyDescent="0.2">
      <c r="A51" s="126" t="s">
        <v>62</v>
      </c>
      <c r="B51" s="126" t="s">
        <v>63</v>
      </c>
      <c r="C51" s="126"/>
      <c r="D51" s="126"/>
      <c r="E51" s="126"/>
      <c r="F51" s="126"/>
      <c r="G51" s="126"/>
      <c r="H51" s="126"/>
      <c r="I51" s="126"/>
      <c r="K51" s="129"/>
    </row>
    <row r="52" spans="1:11" x14ac:dyDescent="0.2">
      <c r="A52" s="126" t="s">
        <v>64</v>
      </c>
      <c r="B52" s="126"/>
      <c r="C52" s="126" t="s">
        <v>65</v>
      </c>
      <c r="D52" s="126"/>
      <c r="E52" s="126"/>
      <c r="F52" s="13"/>
      <c r="G52" s="126" t="s">
        <v>3</v>
      </c>
      <c r="H52" s="133" t="str">
        <f t="shared" ref="H52:H58" si="9">IF(F52="","",ROUND(F52/100*$H$8,2))</f>
        <v/>
      </c>
      <c r="I52" s="126" t="s">
        <v>4</v>
      </c>
      <c r="K52" s="129" t="str">
        <f t="shared" si="8"/>
        <v>Bitte ausfüllen!</v>
      </c>
    </row>
    <row r="53" spans="1:11" x14ac:dyDescent="0.2">
      <c r="A53" s="126" t="s">
        <v>66</v>
      </c>
      <c r="B53" s="126"/>
      <c r="C53" s="126" t="s">
        <v>67</v>
      </c>
      <c r="D53" s="126"/>
      <c r="E53" s="126"/>
      <c r="F53" s="13"/>
      <c r="G53" s="126" t="s">
        <v>3</v>
      </c>
      <c r="H53" s="133" t="str">
        <f t="shared" si="9"/>
        <v/>
      </c>
      <c r="I53" s="126" t="s">
        <v>4</v>
      </c>
      <c r="K53" s="129" t="str">
        <f t="shared" si="8"/>
        <v>Bitte ausfüllen!</v>
      </c>
    </row>
    <row r="54" spans="1:11" x14ac:dyDescent="0.2">
      <c r="A54" s="126" t="s">
        <v>68</v>
      </c>
      <c r="B54" s="126" t="s">
        <v>69</v>
      </c>
      <c r="C54" s="126"/>
      <c r="D54" s="126"/>
      <c r="E54" s="126"/>
      <c r="F54" s="13"/>
      <c r="G54" s="126" t="s">
        <v>3</v>
      </c>
      <c r="H54" s="133" t="str">
        <f t="shared" si="9"/>
        <v/>
      </c>
      <c r="I54" s="126" t="s">
        <v>4</v>
      </c>
      <c r="K54" s="129" t="str">
        <f t="shared" si="8"/>
        <v>Bitte ausfüllen!</v>
      </c>
    </row>
    <row r="55" spans="1:11" x14ac:dyDescent="0.2">
      <c r="A55" s="126" t="s">
        <v>70</v>
      </c>
      <c r="B55" s="126" t="s">
        <v>71</v>
      </c>
      <c r="C55" s="126"/>
      <c r="D55" s="126"/>
      <c r="E55" s="126"/>
      <c r="F55" s="13"/>
      <c r="G55" s="126" t="s">
        <v>3</v>
      </c>
      <c r="H55" s="133" t="str">
        <f t="shared" si="9"/>
        <v/>
      </c>
      <c r="I55" s="126" t="s">
        <v>4</v>
      </c>
      <c r="K55" s="129" t="str">
        <f t="shared" si="8"/>
        <v>Bitte ausfüllen!</v>
      </c>
    </row>
    <row r="56" spans="1:11" x14ac:dyDescent="0.2">
      <c r="A56" s="126" t="s">
        <v>72</v>
      </c>
      <c r="B56" s="126" t="s">
        <v>73</v>
      </c>
      <c r="C56" s="126"/>
      <c r="D56" s="126"/>
      <c r="E56" s="126"/>
      <c r="F56" s="13"/>
      <c r="G56" s="126" t="s">
        <v>3</v>
      </c>
      <c r="H56" s="133" t="str">
        <f t="shared" si="9"/>
        <v/>
      </c>
      <c r="I56" s="126" t="s">
        <v>4</v>
      </c>
      <c r="K56" s="129" t="str">
        <f t="shared" si="8"/>
        <v>Bitte ausfüllen!</v>
      </c>
    </row>
    <row r="57" spans="1:11" ht="12.75" customHeight="1" x14ac:dyDescent="0.2">
      <c r="A57" s="126" t="s">
        <v>74</v>
      </c>
      <c r="B57" s="126" t="s">
        <v>75</v>
      </c>
      <c r="C57" s="126"/>
      <c r="D57" s="126"/>
      <c r="E57" s="126"/>
      <c r="F57" s="13"/>
      <c r="G57" s="126" t="s">
        <v>3</v>
      </c>
      <c r="H57" s="133" t="str">
        <f t="shared" si="9"/>
        <v/>
      </c>
      <c r="I57" s="126" t="s">
        <v>4</v>
      </c>
      <c r="K57" s="129" t="str">
        <f t="shared" si="8"/>
        <v>Bitte ausfüllen!</v>
      </c>
    </row>
    <row r="58" spans="1:11" x14ac:dyDescent="0.2">
      <c r="A58" s="126" t="s">
        <v>76</v>
      </c>
      <c r="B58" s="126" t="s">
        <v>77</v>
      </c>
      <c r="C58" s="126"/>
      <c r="D58" s="126"/>
      <c r="E58" s="126"/>
      <c r="F58" s="13"/>
      <c r="G58" s="126" t="s">
        <v>3</v>
      </c>
      <c r="H58" s="133" t="str">
        <f t="shared" si="9"/>
        <v/>
      </c>
      <c r="I58" s="126" t="s">
        <v>4</v>
      </c>
      <c r="K58" s="129" t="str">
        <f t="shared" si="8"/>
        <v>Bitte ausfüllen!</v>
      </c>
    </row>
    <row r="59" spans="1:11" ht="25.5" customHeight="1" x14ac:dyDescent="0.2">
      <c r="A59" s="127"/>
      <c r="B59" s="212" t="s">
        <v>78</v>
      </c>
      <c r="C59" s="212"/>
      <c r="D59" s="127"/>
      <c r="E59" s="127"/>
      <c r="F59" s="134">
        <f>IF(SUM(F47:F58)=0,0,SUM(F47:F58))</f>
        <v>0</v>
      </c>
      <c r="G59" s="127" t="s">
        <v>3</v>
      </c>
      <c r="H59" s="135" t="str">
        <f>IF(SUM(H48:H58)=0,"",SUM(H48:H58))</f>
        <v/>
      </c>
      <c r="I59" s="127" t="s">
        <v>4</v>
      </c>
      <c r="K59" s="129" t="str">
        <f>IF(H59="","Angaben offen!","")</f>
        <v>Angaben offen!</v>
      </c>
    </row>
    <row r="60" spans="1:11" x14ac:dyDescent="0.2">
      <c r="A60" s="126"/>
      <c r="B60" s="126"/>
      <c r="C60" s="126"/>
      <c r="D60" s="126"/>
      <c r="E60" s="126"/>
      <c r="F60" s="130"/>
      <c r="G60" s="126"/>
      <c r="H60" s="130"/>
      <c r="I60" s="126"/>
    </row>
    <row r="61" spans="1:11" x14ac:dyDescent="0.2">
      <c r="A61" s="127" t="s">
        <v>79</v>
      </c>
      <c r="B61" s="211" t="s">
        <v>80</v>
      </c>
      <c r="C61" s="211"/>
      <c r="D61" s="127"/>
      <c r="E61" s="127"/>
      <c r="F61" s="139">
        <f>IF(AND(F36=""),0,F36+F44+F59+F8)</f>
        <v>100</v>
      </c>
      <c r="G61" s="127" t="s">
        <v>3</v>
      </c>
      <c r="H61" s="131" t="str">
        <f>IF(H59="","",H36+H44+H59+H8)</f>
        <v/>
      </c>
      <c r="I61" s="127" t="s">
        <v>4</v>
      </c>
    </row>
    <row r="62" spans="1:11" x14ac:dyDescent="0.2">
      <c r="A62" s="127" t="s">
        <v>81</v>
      </c>
      <c r="B62" s="127" t="s">
        <v>82</v>
      </c>
      <c r="C62" s="127"/>
      <c r="D62" s="127"/>
      <c r="E62" s="127"/>
      <c r="F62" s="13"/>
      <c r="G62" s="127" t="s">
        <v>3</v>
      </c>
      <c r="H62" s="135" t="str">
        <f>IF(F62="","",ROUND(F62/100*H61,2))</f>
        <v/>
      </c>
      <c r="I62" s="127" t="s">
        <v>4</v>
      </c>
      <c r="K62" s="129" t="str">
        <f>IF(F62="","Bitte ausfüllen!","")</f>
        <v>Bitte ausfüllen!</v>
      </c>
    </row>
    <row r="63" spans="1:11" x14ac:dyDescent="0.2">
      <c r="A63" s="127"/>
      <c r="B63" s="127" t="s">
        <v>83</v>
      </c>
      <c r="C63" s="127"/>
      <c r="D63" s="127"/>
      <c r="E63" s="127"/>
      <c r="F63" s="134">
        <f>IF(H63="",0,H63/H8*100)</f>
        <v>0</v>
      </c>
      <c r="G63" s="127" t="s">
        <v>3</v>
      </c>
      <c r="H63" s="135" t="str">
        <f>IF(H62="","",H61+H62)</f>
        <v/>
      </c>
      <c r="I63" s="127" t="s">
        <v>4</v>
      </c>
      <c r="K63" s="129" t="str" cm="1">
        <f t="array" aca="1" ref="K63" ca="1">IF(SUM(COUNTIF(INDIRECT({"H6:H7","F11:F15","D19:D28","F29:F30","F34:F35","F40:F43","F48:F50","F52:F58","F62","H67:H70","M3:P3"}),""))&gt;0,SUM(COUNTIF(INDIRECT({"H6:H7","F11:F15","D19:D28","F29:F30","F34:F35","F40:F43","F48:F50","F52:F58","F62","H67:H70","M3:P3"}),"")) &amp;" Zelle(n) ohne Wert!","")</f>
        <v>28 Zelle(n) ohne Wert!</v>
      </c>
    </row>
    <row r="64" spans="1:11" x14ac:dyDescent="0.2">
      <c r="A64" s="126"/>
      <c r="B64" s="126" t="s">
        <v>84</v>
      </c>
      <c r="C64" s="126"/>
      <c r="D64" s="126"/>
      <c r="E64" s="126"/>
      <c r="F64" s="134">
        <f>IF(F63=0,0,F63-F8)</f>
        <v>0</v>
      </c>
      <c r="G64" s="126" t="s">
        <v>3</v>
      </c>
      <c r="H64" s="131"/>
      <c r="I64" s="127"/>
      <c r="K64" s="129" t="str">
        <f>IF(F64&lt;70,"Bitte prüfen gemäß Aufforderung!","")</f>
        <v>Bitte prüfen gemäß Aufforderung!</v>
      </c>
    </row>
    <row r="65" spans="1:11" x14ac:dyDescent="0.2">
      <c r="A65" s="126"/>
      <c r="B65" s="126"/>
      <c r="C65" s="126"/>
      <c r="D65" s="126"/>
      <c r="E65" s="126"/>
      <c r="F65" s="126"/>
      <c r="G65" s="126"/>
      <c r="H65" s="126"/>
      <c r="I65" s="126"/>
    </row>
    <row r="66" spans="1:11" x14ac:dyDescent="0.2">
      <c r="B66" s="127" t="s">
        <v>85</v>
      </c>
      <c r="D66" s="127"/>
      <c r="E66" s="127"/>
      <c r="G66" s="127"/>
      <c r="H66" s="131" t="s">
        <v>86</v>
      </c>
    </row>
    <row r="67" spans="1:11" x14ac:dyDescent="0.2">
      <c r="B67" s="126" t="s">
        <v>87</v>
      </c>
      <c r="D67" s="126"/>
      <c r="E67" s="126"/>
      <c r="G67" s="140"/>
      <c r="H67" s="10"/>
      <c r="K67" s="129" t="str">
        <f>IF(H67="","Bitte ausfüllen!","")</f>
        <v>Bitte ausfüllen!</v>
      </c>
    </row>
    <row r="68" spans="1:11" x14ac:dyDescent="0.2">
      <c r="B68" s="126" t="s">
        <v>88</v>
      </c>
      <c r="D68" s="126"/>
      <c r="E68" s="126"/>
      <c r="G68" s="140"/>
      <c r="H68" s="11"/>
      <c r="K68" s="129" t="str">
        <f>IF(H68="","Bitte ausfüllen!","")</f>
        <v>Bitte ausfüllen!</v>
      </c>
    </row>
    <row r="69" spans="1:11" x14ac:dyDescent="0.2">
      <c r="B69" s="126" t="s">
        <v>89</v>
      </c>
      <c r="D69" s="126"/>
      <c r="E69" s="126"/>
      <c r="G69" s="140"/>
      <c r="H69" s="12"/>
      <c r="K69" s="129" t="str">
        <f>IF(H69="","Bitte ausfüllen!","")</f>
        <v>Bitte ausfüllen!</v>
      </c>
    </row>
    <row r="70" spans="1:11" x14ac:dyDescent="0.2">
      <c r="B70" s="126" t="s">
        <v>90</v>
      </c>
      <c r="D70" s="126"/>
      <c r="E70" s="126"/>
      <c r="G70" s="140"/>
      <c r="H70" s="11"/>
      <c r="K70" s="129" t="str">
        <f>IF(H70="","Bitte ausfüllen!","")</f>
        <v>Bitte ausfüllen!</v>
      </c>
    </row>
    <row r="72" spans="1:11" ht="15.95" customHeight="1" x14ac:dyDescent="0.2">
      <c r="A72" s="202" t="s">
        <v>231</v>
      </c>
      <c r="B72" s="202"/>
      <c r="C72" s="202"/>
      <c r="D72" s="202" t="s">
        <v>242</v>
      </c>
      <c r="F72" s="204" t="s">
        <v>139</v>
      </c>
      <c r="G72" s="205"/>
      <c r="H72" s="206"/>
    </row>
    <row r="73" spans="1:11" ht="15.95" customHeight="1" x14ac:dyDescent="0.2">
      <c r="A73" s="203"/>
      <c r="B73" s="203"/>
      <c r="C73" s="203"/>
      <c r="D73" s="203"/>
      <c r="F73" s="207"/>
      <c r="G73" s="208"/>
      <c r="H73" s="209"/>
      <c r="I73" s="127"/>
      <c r="J73" s="127"/>
      <c r="K73" s="127"/>
    </row>
    <row r="74" spans="1:11" ht="19.899999999999999" customHeight="1" x14ac:dyDescent="0.2">
      <c r="A74" s="213">
        <v>1</v>
      </c>
      <c r="B74" s="213"/>
      <c r="C74" s="14" t="s">
        <v>134</v>
      </c>
      <c r="D74" s="92">
        <v>7.3</v>
      </c>
      <c r="F74" s="214" t="s">
        <v>647</v>
      </c>
      <c r="G74" s="214"/>
      <c r="H74" s="214"/>
    </row>
    <row r="75" spans="1:11" ht="19.899999999999999" customHeight="1" x14ac:dyDescent="0.2">
      <c r="A75" s="213">
        <v>2</v>
      </c>
      <c r="B75" s="213"/>
      <c r="C75" s="14" t="s">
        <v>135</v>
      </c>
      <c r="D75" s="92">
        <v>9.3000000000000007</v>
      </c>
    </row>
    <row r="76" spans="1:11" ht="25.5" customHeight="1" x14ac:dyDescent="0.2">
      <c r="A76" s="213">
        <v>3</v>
      </c>
      <c r="B76" s="213"/>
      <c r="C76" s="14" t="s">
        <v>136</v>
      </c>
      <c r="D76" s="92">
        <v>1.3</v>
      </c>
    </row>
    <row r="77" spans="1:11" ht="30" customHeight="1" x14ac:dyDescent="0.2">
      <c r="A77" s="213">
        <v>4</v>
      </c>
      <c r="B77" s="213"/>
      <c r="C77" s="14" t="s">
        <v>137</v>
      </c>
      <c r="D77" s="92">
        <f>IF( F74="Sachsen",1.3,1.8)</f>
        <v>1.8</v>
      </c>
    </row>
    <row r="78" spans="1:11" ht="25.5" customHeight="1" x14ac:dyDescent="0.2">
      <c r="A78" s="213">
        <v>5</v>
      </c>
      <c r="B78" s="213"/>
      <c r="C78" s="14" t="s">
        <v>159</v>
      </c>
      <c r="D78" s="92"/>
    </row>
    <row r="79" spans="1:11" ht="25.5" customHeight="1" x14ac:dyDescent="0.2">
      <c r="A79" s="213">
        <v>6</v>
      </c>
      <c r="B79" s="213"/>
      <c r="C79" s="14" t="s">
        <v>124</v>
      </c>
      <c r="D79" s="92"/>
    </row>
    <row r="80" spans="1:11" ht="25.5" customHeight="1" x14ac:dyDescent="0.2">
      <c r="A80" s="213">
        <v>7</v>
      </c>
      <c r="B80" s="213"/>
      <c r="C80" s="14" t="s">
        <v>138</v>
      </c>
      <c r="D80" s="92">
        <v>0.15</v>
      </c>
    </row>
  </sheetData>
  <sheetProtection algorithmName="SHA-512" hashValue="vl13vPMg/r0MVMUfAbA/b3uUwbRRpKBZWNAfAg3v0/OBmBeCe1PWxaf0MH4w1Z+Mk2ZXOeAfGhUvaVhxpSKYvA==" saltValue="arVKJEqTvU/JgduZ2MAUHQ==" spinCount="100000" sheet="1" objects="1" scenarios="1"/>
  <mergeCells count="18">
    <mergeCell ref="A80:B80"/>
    <mergeCell ref="B31:C31"/>
    <mergeCell ref="B36:C36"/>
    <mergeCell ref="B44:C44"/>
    <mergeCell ref="B61:C61"/>
    <mergeCell ref="A75:B75"/>
    <mergeCell ref="A76:B76"/>
    <mergeCell ref="A77:B77"/>
    <mergeCell ref="A78:B78"/>
    <mergeCell ref="A79:B79"/>
    <mergeCell ref="B59:C59"/>
    <mergeCell ref="A72:C73"/>
    <mergeCell ref="A74:B74"/>
    <mergeCell ref="F74:H74"/>
    <mergeCell ref="E1:I2"/>
    <mergeCell ref="A3:I3"/>
    <mergeCell ref="D72:D73"/>
    <mergeCell ref="F72:H73"/>
  </mergeCells>
  <dataValidations count="1">
    <dataValidation type="decimal" errorStyle="warning" allowBlank="1" showInputMessage="1" showErrorMessage="1" error="Bitte überprüfen Sie Ihre Eingaben." sqref="C27" xr:uid="{00000000-0002-0000-0700-000000000000}">
      <formula1>8.5</formula1>
      <formula2>84</formula2>
    </dataValidation>
  </dataValidations>
  <hyperlinks>
    <hyperlink ref="M1" location="Inhaltsverzeichnis!A1" display="Zurück zum Inhaltsverzeichnis" xr:uid="{00000000-0004-0000-0700-000000000000}"/>
  </hyperlinks>
  <printOptions horizontalCentered="1"/>
  <pageMargins left="0.78740157480314965" right="0.78740157480314965" top="0.98425196850393704" bottom="0.98425196850393704" header="0.51181102362204722" footer="0.51181102362204722"/>
  <pageSetup paperSize="9" scale="60" fitToWidth="0" fitToHeight="0" orientation="portrait" r:id="rId1"/>
  <headerFooter alignWithMargins="0">
    <oddFooter>&amp;C&amp;P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7" r:id="rId4" name="Check Box 3">
              <controlPr defaultSize="0" autoFill="0" autoLine="0" autoPict="0" altText="Hinweis">
                <anchor moveWithCells="1">
                  <from>
                    <xdr:col>3</xdr:col>
                    <xdr:colOff>0</xdr:colOff>
                    <xdr:row>0</xdr:row>
                    <xdr:rowOff>161925</xdr:rowOff>
                  </from>
                  <to>
                    <xdr:col>3</xdr:col>
                    <xdr:colOff>676275</xdr:colOff>
                    <xdr:row>1</xdr:row>
                    <xdr:rowOff>9525</xdr:rowOff>
                  </to>
                </anchor>
              </controlPr>
            </control>
          </mc:Choice>
        </mc:AlternateContent>
        <mc:AlternateContent xmlns:mc="http://schemas.openxmlformats.org/markup-compatibility/2006">
          <mc:Choice Requires="x14">
            <control shapeId="31748" r:id="rId5" name="Check Box 4">
              <controlPr defaultSize="0" autoFill="0" autoLine="0" autoPict="0" altText="Hinweis">
                <anchor moveWithCells="1">
                  <from>
                    <xdr:col>3</xdr:col>
                    <xdr:colOff>0</xdr:colOff>
                    <xdr:row>1</xdr:row>
                    <xdr:rowOff>28575</xdr:rowOff>
                  </from>
                  <to>
                    <xdr:col>3</xdr:col>
                    <xdr:colOff>676275</xdr:colOff>
                    <xdr:row>1</xdr:row>
                    <xdr:rowOff>314325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32357-47A3-48A9-8337-4A7F04DE38E9}">
  <sheetPr codeName="Tabelle23">
    <tabColor indexed="40"/>
  </sheetPr>
  <dimension ref="A1:U57"/>
  <sheetViews>
    <sheetView showGridLines="0" zoomScaleNormal="100" workbookViewId="0">
      <pane ySplit="21" topLeftCell="A22" activePane="bottomLeft" state="frozen"/>
      <selection pane="bottomLeft"/>
    </sheetView>
  </sheetViews>
  <sheetFormatPr baseColWidth="10" defaultColWidth="0" defaultRowHeight="15" customHeight="1" x14ac:dyDescent="0.2"/>
  <cols>
    <col min="1" max="1" width="11.7109375" style="3" customWidth="1"/>
    <col min="2" max="2" width="7.7109375" style="3" customWidth="1"/>
    <col min="3" max="3" width="5.7109375" style="3" customWidth="1"/>
    <col min="4" max="4" width="8.28515625" style="3" customWidth="1"/>
    <col min="5" max="5" width="21.7109375" style="3" customWidth="1"/>
    <col min="6" max="6" width="13.5703125" style="3" bestFit="1" customWidth="1"/>
    <col min="7" max="7" width="10.7109375" style="3" customWidth="1"/>
    <col min="8" max="8" width="9.7109375" style="3" customWidth="1"/>
    <col min="9" max="9" width="11.7109375" style="3" customWidth="1"/>
    <col min="10" max="10" width="10.5703125" style="3" bestFit="1" customWidth="1"/>
    <col min="11" max="11" width="7.85546875" style="3" customWidth="1"/>
    <col min="12" max="12" width="8.7109375" style="3" customWidth="1"/>
    <col min="13" max="13" width="12.140625" style="3" customWidth="1"/>
    <col min="14" max="14" width="9.42578125" style="3" customWidth="1"/>
    <col min="15" max="15" width="8.42578125" style="3" customWidth="1"/>
    <col min="16" max="17" width="11.42578125" style="3" customWidth="1"/>
    <col min="18" max="19" width="11.28515625" style="3" customWidth="1"/>
    <col min="20" max="20" width="22.28515625" style="3" customWidth="1"/>
    <col min="21" max="21" width="0" style="3" hidden="1" customWidth="1"/>
    <col min="22" max="16384" width="11.42578125" style="3" hidden="1"/>
  </cols>
  <sheetData>
    <row r="1" spans="1:21" ht="15" customHeight="1" x14ac:dyDescent="0.2">
      <c r="M1" s="5" t="s">
        <v>100</v>
      </c>
    </row>
    <row r="2" spans="1:21" ht="21" customHeight="1" x14ac:dyDescent="0.2">
      <c r="A2" s="217" t="s">
        <v>177</v>
      </c>
      <c r="B2" s="218"/>
      <c r="C2" s="218"/>
      <c r="D2" s="218" t="b">
        <v>0</v>
      </c>
      <c r="E2" s="219"/>
      <c r="G2" s="220" t="s">
        <v>190</v>
      </c>
      <c r="H2" s="220" t="s">
        <v>182</v>
      </c>
      <c r="I2" s="220" t="s">
        <v>183</v>
      </c>
      <c r="J2" s="220" t="s">
        <v>202</v>
      </c>
      <c r="M2" s="23" t="b">
        <v>0</v>
      </c>
      <c r="N2" s="192" t="str">
        <f>IF(M2=TRUE,"Bitte tragen Sie Ihre Leistungswerte in die gelben Zellen direkt unter der Zelle Leistungswerte (m²/h) ein. Die Leistungswerte werden automatisch in die untere Kalkulation übernommen. Die linke Tabelle ist lediglich eine Ausfüllhilfe.",IF(M3=TRUE,"Wenn eine Jahresreinigungsfläche für eine Reinigungsgruppe mit 0 angegeben ist, brauchen Sie den Leistungswert nicht auszufüllen. Es schadet aber nichts, wenn Sie es trotzdem tun.",IF(M4=TRUE,"Sie können in der Kalkulationstabelle (unten) in jedem einzelnen Raum die Leistungswerte (gelbe Zellen) beliebig oft individuell anpassen. Mit dem individuellen Überschreiben wird die Verknüpfung zu den Leistungswerten in der obigen Tabelle aufgehoben.",IF( M5=TRUE,"Die rot markierten Informationen sind auch lediglich eine Unterstützung. Sie erscheinen, wenn gelbe Zellen in dieser Tabelle oder in den Stundenverrechnungssätzen (SVS) nicht ausgefüllt sind. Wenn keine rote Schrift mehr da ist, ist alles vollständig.",""))))</f>
        <v/>
      </c>
      <c r="O2" s="192"/>
      <c r="P2" s="192"/>
      <c r="Q2" s="192"/>
    </row>
    <row r="3" spans="1:21" ht="21" customHeight="1" x14ac:dyDescent="0.2">
      <c r="A3" s="154" t="s">
        <v>178</v>
      </c>
      <c r="B3" s="155"/>
      <c r="C3" s="155"/>
      <c r="D3" s="155"/>
      <c r="E3" s="156"/>
      <c r="G3" s="221"/>
      <c r="H3" s="221" t="b">
        <v>0</v>
      </c>
      <c r="I3" s="221"/>
      <c r="J3" s="221"/>
      <c r="M3" s="23" t="b">
        <v>0</v>
      </c>
      <c r="N3" s="192"/>
      <c r="O3" s="192"/>
      <c r="P3" s="192"/>
      <c r="Q3" s="192"/>
    </row>
    <row r="4" spans="1:21" ht="15" customHeight="1" x14ac:dyDescent="0.2">
      <c r="A4" s="215" t="s">
        <v>91</v>
      </c>
      <c r="B4" s="225" t="str">
        <f>IF(Inhaltsverzeichnis!C3="","",Inhaltsverzeichnis!C3)</f>
        <v/>
      </c>
      <c r="C4" s="226"/>
      <c r="D4" s="226"/>
      <c r="E4" s="227"/>
      <c r="G4" s="153" t="s">
        <v>315</v>
      </c>
      <c r="H4" s="157"/>
      <c r="I4" s="158">
        <f ca="1">SUMIF('Kal Unter Bremmel TH'!J22:M57,$G$4,'Kal Unter Bremmel TH'!M22:M57)</f>
        <v>4117.74</v>
      </c>
      <c r="J4" s="118">
        <f>COUNTIFS('Kal Unter Bremmel TH'!J22:M57,$G$4)</f>
        <v>2</v>
      </c>
      <c r="M4" s="23" t="b">
        <v>0</v>
      </c>
      <c r="N4" s="192"/>
      <c r="O4" s="192"/>
      <c r="P4" s="192"/>
      <c r="Q4" s="192"/>
      <c r="U4" s="153" t="s">
        <v>315</v>
      </c>
    </row>
    <row r="5" spans="1:21" ht="15" customHeight="1" x14ac:dyDescent="0.2">
      <c r="A5" s="216"/>
      <c r="B5" s="228"/>
      <c r="C5" s="229"/>
      <c r="D5" s="229"/>
      <c r="E5" s="230"/>
      <c r="G5" s="153" t="s">
        <v>314</v>
      </c>
      <c r="H5" s="157"/>
      <c r="I5" s="158">
        <f ca="1">SUMIF('Kal Unter Bremmel TH'!J22:M57,$G$5,'Kal Unter Bremmel TH'!M22:M57)</f>
        <v>18774.62</v>
      </c>
      <c r="J5" s="118">
        <f>COUNTIFS('Kal Unter Bremmel TH'!J22:M57,$G$5)</f>
        <v>14</v>
      </c>
      <c r="M5" s="23" t="b">
        <v>0</v>
      </c>
      <c r="N5" s="192"/>
      <c r="O5" s="192"/>
      <c r="P5" s="192"/>
      <c r="Q5" s="192"/>
      <c r="U5" s="153" t="s">
        <v>314</v>
      </c>
    </row>
    <row r="6" spans="1:21" ht="15" customHeight="1" x14ac:dyDescent="0.2">
      <c r="A6" s="159" t="s">
        <v>200</v>
      </c>
      <c r="B6" s="231" t="s">
        <v>245</v>
      </c>
      <c r="C6" s="232"/>
      <c r="D6" s="232"/>
      <c r="E6" s="233"/>
      <c r="G6" s="153" t="s">
        <v>311</v>
      </c>
      <c r="H6" s="157"/>
      <c r="I6" s="158">
        <f ca="1">SUMIF('Kal Unter Bremmel TH'!J22:M57,$G$6,'Kal Unter Bremmel TH'!M22:M57)</f>
        <v>207362.79</v>
      </c>
      <c r="J6" s="118">
        <f>COUNTIFS('Kal Unter Bremmel TH'!J22:M57,$G$6)</f>
        <v>1</v>
      </c>
      <c r="U6" s="153" t="s">
        <v>311</v>
      </c>
    </row>
    <row r="7" spans="1:21" ht="15" customHeight="1" x14ac:dyDescent="0.2">
      <c r="A7" s="160" t="s">
        <v>198</v>
      </c>
      <c r="B7" s="234" t="s">
        <v>246</v>
      </c>
      <c r="C7" s="232"/>
      <c r="D7" s="232"/>
      <c r="E7" s="233"/>
      <c r="G7" s="153" t="s">
        <v>312</v>
      </c>
      <c r="H7" s="157"/>
      <c r="I7" s="158">
        <f ca="1">SUMIF('Kal Unter Bremmel TH'!J22:M57,$G$7,'Kal Unter Bremmel TH'!M22:M57)</f>
        <v>5165.5999999999995</v>
      </c>
      <c r="J7" s="118">
        <f>COUNTIFS('Kal Unter Bremmel TH'!J22:M57,$G$7)</f>
        <v>8</v>
      </c>
      <c r="U7" s="153" t="s">
        <v>312</v>
      </c>
    </row>
    <row r="8" spans="1:21" ht="15" customHeight="1" x14ac:dyDescent="0.2">
      <c r="A8" s="160" t="s">
        <v>199</v>
      </c>
      <c r="B8" s="231"/>
      <c r="C8" s="232"/>
      <c r="D8" s="232"/>
      <c r="E8" s="233"/>
      <c r="G8" s="153" t="s">
        <v>310</v>
      </c>
      <c r="H8" s="157"/>
      <c r="I8" s="158">
        <f ca="1">SUMIF('Kal Unter Bremmel TH'!J22:M57,$G$8,'Kal Unter Bremmel TH'!M22:M57)</f>
        <v>3456.04</v>
      </c>
      <c r="J8" s="118">
        <f>COUNTIFS('Kal Unter Bremmel TH'!J22:M57,$G$8)</f>
        <v>2</v>
      </c>
      <c r="U8" s="153" t="s">
        <v>310</v>
      </c>
    </row>
    <row r="9" spans="1:21" ht="15" customHeight="1" x14ac:dyDescent="0.2">
      <c r="A9" s="159" t="s">
        <v>197</v>
      </c>
      <c r="B9" s="235" t="s">
        <v>244</v>
      </c>
      <c r="C9" s="232"/>
      <c r="D9" s="232"/>
      <c r="E9" s="233"/>
      <c r="G9" s="153" t="s">
        <v>291</v>
      </c>
      <c r="H9" s="157"/>
      <c r="I9" s="158">
        <f ca="1">SUMIF('Kal Unter Bremmel TH'!J22:M57,$G$9,'Kal Unter Bremmel TH'!M22:M57)</f>
        <v>15342.25</v>
      </c>
      <c r="J9" s="118">
        <f>COUNTIFS('Kal Unter Bremmel TH'!J22:M57,$G$9)</f>
        <v>6</v>
      </c>
      <c r="U9" s="153" t="s">
        <v>291</v>
      </c>
    </row>
    <row r="10" spans="1:21" ht="15" customHeight="1" x14ac:dyDescent="0.2">
      <c r="A10" s="160" t="s">
        <v>179</v>
      </c>
      <c r="B10" s="231" t="s">
        <v>247</v>
      </c>
      <c r="C10" s="232"/>
      <c r="D10" s="232"/>
      <c r="E10" s="233"/>
      <c r="G10" s="153" t="s">
        <v>313</v>
      </c>
      <c r="H10" s="157"/>
      <c r="I10" s="158">
        <f ca="1">SUMIF('Kal Unter Bremmel TH'!J22:M57,$G$10,'Kal Unter Bremmel TH'!M22:M57)</f>
        <v>18094.18</v>
      </c>
      <c r="J10" s="118">
        <f>COUNTIFS('Kal Unter Bremmel TH'!J22:M57,$G$10)</f>
        <v>3</v>
      </c>
      <c r="U10" s="153" t="s">
        <v>313</v>
      </c>
    </row>
    <row r="11" spans="1:21" ht="15" customHeight="1" x14ac:dyDescent="0.2">
      <c r="A11" s="160" t="s">
        <v>180</v>
      </c>
      <c r="B11" s="236" t="s">
        <v>248</v>
      </c>
      <c r="C11" s="232"/>
      <c r="D11" s="232"/>
      <c r="E11" s="233"/>
    </row>
    <row r="12" spans="1:21" ht="15" customHeight="1" x14ac:dyDescent="0.2">
      <c r="A12" s="160" t="s">
        <v>181</v>
      </c>
      <c r="B12" s="231" t="s">
        <v>249</v>
      </c>
      <c r="C12" s="232"/>
      <c r="D12" s="232"/>
      <c r="E12" s="233"/>
    </row>
    <row r="13" spans="1:21" ht="15" customHeight="1" x14ac:dyDescent="0.2">
      <c r="A13" s="160" t="s">
        <v>184</v>
      </c>
      <c r="B13" s="222" t="str">
        <f>HYPERLINK("http://maps.google.de/maps?hl=de&amp;bav=on.2,or.r_qf.&amp;bvm=bv.44770516,d.Yms&amp;biw=1395&amp;bih=916&amp;um=1&amp;ie=UTF-8&amp;q="&amp;B7&amp;"+"&amp;B8&amp;"+"&amp;B10&amp;"+"&amp;B11&amp;"+"&amp;B12&amp;"","In Google-Maps anzeigen (wenn Internet verfügbar)")</f>
        <v>In Google-Maps anzeigen (wenn Internet verfügbar)</v>
      </c>
      <c r="C13" s="223"/>
      <c r="D13" s="223"/>
      <c r="E13" s="224"/>
    </row>
    <row r="14" spans="1:21" ht="15" customHeight="1" x14ac:dyDescent="0.2">
      <c r="T14" s="161">
        <f>IF(COUNTA($T$22:$T$57)-COUNTBLANK($T$22:$T$57)=0,"",COUNTA($T$22:$T$57)-COUNTBLANK($T$22:$T$57))</f>
        <v>35</v>
      </c>
    </row>
    <row r="15" spans="1:21" ht="15" hidden="1" customHeight="1" x14ac:dyDescent="0.2"/>
    <row r="16" spans="1:21" ht="15" hidden="1" customHeight="1" x14ac:dyDescent="0.2"/>
    <row r="17" spans="1:21" ht="15" hidden="1" customHeight="1" x14ac:dyDescent="0.2"/>
    <row r="18" spans="1:21" ht="15" hidden="1" customHeight="1" x14ac:dyDescent="0.2"/>
    <row r="19" spans="1:21" ht="15" hidden="1" customHeight="1" x14ac:dyDescent="0.2"/>
    <row r="20" spans="1:21" ht="45" customHeight="1" x14ac:dyDescent="0.2">
      <c r="A20" s="1" t="s">
        <v>92</v>
      </c>
      <c r="B20" s="1" t="s">
        <v>97</v>
      </c>
      <c r="C20" s="1" t="s">
        <v>93</v>
      </c>
      <c r="D20" s="1" t="s">
        <v>94</v>
      </c>
      <c r="E20" s="1" t="s">
        <v>98</v>
      </c>
      <c r="F20" s="1" t="s">
        <v>95</v>
      </c>
      <c r="G20" s="1" t="s">
        <v>121</v>
      </c>
      <c r="H20" s="1" t="s">
        <v>108</v>
      </c>
      <c r="I20" s="1" t="s">
        <v>109</v>
      </c>
      <c r="J20" s="1" t="s">
        <v>99</v>
      </c>
      <c r="K20" s="1" t="s">
        <v>106</v>
      </c>
      <c r="L20" s="1" t="s">
        <v>141</v>
      </c>
      <c r="M20" s="1" t="s">
        <v>111</v>
      </c>
      <c r="N20" s="1" t="s">
        <v>107</v>
      </c>
      <c r="O20" s="1" t="s">
        <v>112</v>
      </c>
      <c r="P20" s="1" t="s">
        <v>113</v>
      </c>
      <c r="Q20" s="1" t="s">
        <v>114</v>
      </c>
      <c r="R20" s="1" t="s">
        <v>201</v>
      </c>
      <c r="S20" s="1" t="s">
        <v>140</v>
      </c>
    </row>
    <row r="21" spans="1:21" ht="29.1" customHeight="1" x14ac:dyDescent="0.2">
      <c r="A21" s="162" t="s">
        <v>125</v>
      </c>
      <c r="B21" s="14"/>
      <c r="C21" s="14"/>
      <c r="D21" s="14"/>
      <c r="E21" s="14"/>
      <c r="F21" s="14"/>
      <c r="G21" s="163">
        <f>SUM($G$22:$G$57)</f>
        <v>1897.7699999999995</v>
      </c>
      <c r="H21" s="163">
        <f>SUM($H$22:$H$57)</f>
        <v>0</v>
      </c>
      <c r="I21" s="163">
        <f>SUM($I$22:$I$57)</f>
        <v>0</v>
      </c>
      <c r="J21" s="95"/>
      <c r="K21" s="95"/>
      <c r="L21" s="164">
        <f>MAX(L22:L57)</f>
        <v>215.33</v>
      </c>
      <c r="M21" s="163">
        <f>SUM($M$22:$M$57)</f>
        <v>272313.22000000003</v>
      </c>
      <c r="N21" s="95"/>
      <c r="O21" s="95"/>
      <c r="P21" s="163">
        <f>SUM($P$22:$P$57)</f>
        <v>0</v>
      </c>
      <c r="Q21" s="163">
        <f ca="1">SUM($Q$22:$Q$57)</f>
        <v>0</v>
      </c>
      <c r="R21" s="163">
        <f>ROUND(IF(L21=0,0,P21/L21),2)</f>
        <v>0</v>
      </c>
      <c r="S21" s="163">
        <f ca="1">ROUND(IF(L21=0,0,Q21/L21),2)</f>
        <v>0</v>
      </c>
    </row>
    <row r="22" spans="1:21" ht="15" customHeight="1" x14ac:dyDescent="0.2">
      <c r="A22" s="153">
        <v>1</v>
      </c>
      <c r="B22" s="165"/>
      <c r="C22" s="166" t="s">
        <v>276</v>
      </c>
      <c r="D22" s="166"/>
      <c r="E22" s="166" t="s">
        <v>277</v>
      </c>
      <c r="F22" s="166" t="s">
        <v>278</v>
      </c>
      <c r="G22" s="167">
        <v>963</v>
      </c>
      <c r="H22" s="167"/>
      <c r="I22" s="167"/>
      <c r="J22" s="153" t="s">
        <v>311</v>
      </c>
      <c r="K22" s="167">
        <v>5</v>
      </c>
      <c r="L22" s="95">
        <f>VLOOKUP(K22,Reinigungstage!A10:B31,2,FALSE)</f>
        <v>215.33</v>
      </c>
      <c r="M22" s="95">
        <f t="shared" ref="M22:M57" si="0">ROUND(IF(L22=0,0,L22*G22),2)</f>
        <v>207362.79</v>
      </c>
      <c r="N22" s="168">
        <f t="shared" ref="N22:N57" si="1">VLOOKUP(J22,$G$4:$H$10,2,FALSE)</f>
        <v>0</v>
      </c>
      <c r="O22" s="95">
        <f ca="1">IF('SVS UnterhaltsRG'!H61="",0,'SVS UnterhaltsRG'!H61)</f>
        <v>0</v>
      </c>
      <c r="P22" s="95">
        <f t="shared" ref="P22:P57" si="2">ROUND(IF(N22=0,0,M22/N22),2)</f>
        <v>0</v>
      </c>
      <c r="Q22" s="95">
        <f t="shared" ref="Q22:Q57" ca="1" si="3">IF(M22=0,0,IF(O22="",0,ROUND(P22*O22,2)))</f>
        <v>0</v>
      </c>
      <c r="R22" s="95">
        <f t="shared" ref="R22:R57" si="4">ROUND(IF(P22=0,0,P22/L22),2)</f>
        <v>0</v>
      </c>
      <c r="S22" s="95">
        <f t="shared" ref="S22:S57" ca="1" si="5">ROUND(IF(Q22=0,0,Q22/L22),2)</f>
        <v>0</v>
      </c>
      <c r="T22" s="3" t="str">
        <f t="shared" ref="T22:T57" si="6">IF(M22=0,"",IF(N22=0,"Leistungswert eintragen",IF(O22=0,"SVS prüfen","")))</f>
        <v>Leistungswert eintragen</v>
      </c>
      <c r="U22" s="3">
        <f t="shared" ref="U22:U57" si="7">VLOOKUP(J22,$U$4:$V$10,2,FALSE)</f>
        <v>0</v>
      </c>
    </row>
    <row r="23" spans="1:21" ht="15" customHeight="1" x14ac:dyDescent="0.2">
      <c r="A23" s="153">
        <v>2</v>
      </c>
      <c r="B23" s="165"/>
      <c r="C23" s="166" t="s">
        <v>276</v>
      </c>
      <c r="D23" s="166"/>
      <c r="E23" s="166" t="s">
        <v>279</v>
      </c>
      <c r="F23" s="166" t="s">
        <v>280</v>
      </c>
      <c r="G23" s="167">
        <v>330</v>
      </c>
      <c r="H23" s="167"/>
      <c r="I23" s="167"/>
      <c r="J23" s="153" t="s">
        <v>312</v>
      </c>
      <c r="K23" s="153" t="s">
        <v>162</v>
      </c>
      <c r="L23" s="95">
        <f>VLOOKUP(K23,Reinigungstage!A10:B31,2,FALSE)</f>
        <v>11</v>
      </c>
      <c r="M23" s="95">
        <f t="shared" si="0"/>
        <v>3630</v>
      </c>
      <c r="N23" s="168">
        <f t="shared" si="1"/>
        <v>0</v>
      </c>
      <c r="O23" s="95">
        <f ca="1">IF('SVS UnterhaltsRG'!H61="",0,'SVS UnterhaltsRG'!H61)</f>
        <v>0</v>
      </c>
      <c r="P23" s="95">
        <f t="shared" si="2"/>
        <v>0</v>
      </c>
      <c r="Q23" s="95">
        <f t="shared" ca="1" si="3"/>
        <v>0</v>
      </c>
      <c r="R23" s="95">
        <f t="shared" si="4"/>
        <v>0</v>
      </c>
      <c r="S23" s="95">
        <f t="shared" ca="1" si="5"/>
        <v>0</v>
      </c>
      <c r="T23" s="3" t="str">
        <f t="shared" si="6"/>
        <v>Leistungswert eintragen</v>
      </c>
      <c r="U23" s="3">
        <f t="shared" si="7"/>
        <v>0</v>
      </c>
    </row>
    <row r="24" spans="1:21" ht="15" customHeight="1" x14ac:dyDescent="0.2">
      <c r="A24" s="153">
        <v>3</v>
      </c>
      <c r="B24" s="165"/>
      <c r="C24" s="166" t="s">
        <v>276</v>
      </c>
      <c r="D24" s="166"/>
      <c r="E24" s="166" t="s">
        <v>281</v>
      </c>
      <c r="F24" s="166" t="s">
        <v>280</v>
      </c>
      <c r="G24" s="167">
        <v>39.6</v>
      </c>
      <c r="H24" s="167"/>
      <c r="I24" s="167"/>
      <c r="J24" s="153" t="s">
        <v>312</v>
      </c>
      <c r="K24" s="153" t="s">
        <v>167</v>
      </c>
      <c r="L24" s="95">
        <f>VLOOKUP(K24,Reinigungstage!A10:B31,2,FALSE)</f>
        <v>2</v>
      </c>
      <c r="M24" s="95">
        <f t="shared" si="0"/>
        <v>79.2</v>
      </c>
      <c r="N24" s="168">
        <f t="shared" si="1"/>
        <v>0</v>
      </c>
      <c r="O24" s="95">
        <f ca="1">IF('SVS UnterhaltsRG'!H61="",0,'SVS UnterhaltsRG'!H61)</f>
        <v>0</v>
      </c>
      <c r="P24" s="95">
        <f t="shared" si="2"/>
        <v>0</v>
      </c>
      <c r="Q24" s="95">
        <f t="shared" ca="1" si="3"/>
        <v>0</v>
      </c>
      <c r="R24" s="95">
        <f t="shared" si="4"/>
        <v>0</v>
      </c>
      <c r="S24" s="95">
        <f t="shared" ca="1" si="5"/>
        <v>0</v>
      </c>
      <c r="T24" s="3" t="str">
        <f t="shared" si="6"/>
        <v>Leistungswert eintragen</v>
      </c>
      <c r="U24" s="3">
        <f t="shared" si="7"/>
        <v>0</v>
      </c>
    </row>
    <row r="25" spans="1:21" ht="15" customHeight="1" x14ac:dyDescent="0.2">
      <c r="A25" s="153">
        <v>4</v>
      </c>
      <c r="B25" s="165"/>
      <c r="C25" s="166" t="s">
        <v>276</v>
      </c>
      <c r="D25" s="166"/>
      <c r="E25" s="166" t="s">
        <v>282</v>
      </c>
      <c r="F25" s="166" t="s">
        <v>278</v>
      </c>
      <c r="G25" s="167">
        <v>38.229999999999997</v>
      </c>
      <c r="H25" s="167"/>
      <c r="I25" s="167"/>
      <c r="J25" s="153" t="s">
        <v>312</v>
      </c>
      <c r="K25" s="153" t="s">
        <v>162</v>
      </c>
      <c r="L25" s="95">
        <f>VLOOKUP(K25,Reinigungstage!A10:B31,2,FALSE)</f>
        <v>11</v>
      </c>
      <c r="M25" s="95">
        <f t="shared" si="0"/>
        <v>420.53</v>
      </c>
      <c r="N25" s="168">
        <f t="shared" si="1"/>
        <v>0</v>
      </c>
      <c r="O25" s="95">
        <f ca="1">IF('SVS UnterhaltsRG'!H61="",0,'SVS UnterhaltsRG'!H61)</f>
        <v>0</v>
      </c>
      <c r="P25" s="95">
        <f t="shared" si="2"/>
        <v>0</v>
      </c>
      <c r="Q25" s="95">
        <f t="shared" ca="1" si="3"/>
        <v>0</v>
      </c>
      <c r="R25" s="95">
        <f t="shared" si="4"/>
        <v>0</v>
      </c>
      <c r="S25" s="95">
        <f t="shared" ca="1" si="5"/>
        <v>0</v>
      </c>
      <c r="T25" s="3" t="str">
        <f t="shared" si="6"/>
        <v>Leistungswert eintragen</v>
      </c>
      <c r="U25" s="3">
        <f t="shared" si="7"/>
        <v>0</v>
      </c>
    </row>
    <row r="26" spans="1:21" ht="15" customHeight="1" x14ac:dyDescent="0.2">
      <c r="A26" s="153">
        <v>5</v>
      </c>
      <c r="B26" s="165"/>
      <c r="C26" s="166" t="s">
        <v>276</v>
      </c>
      <c r="D26" s="166"/>
      <c r="E26" s="166" t="s">
        <v>282</v>
      </c>
      <c r="F26" s="166" t="s">
        <v>278</v>
      </c>
      <c r="G26" s="167">
        <v>69.88</v>
      </c>
      <c r="H26" s="167"/>
      <c r="I26" s="167"/>
      <c r="J26" s="153" t="s">
        <v>312</v>
      </c>
      <c r="K26" s="153" t="s">
        <v>162</v>
      </c>
      <c r="L26" s="95">
        <f>VLOOKUP(K26,Reinigungstage!A10:B31,2,FALSE)</f>
        <v>11</v>
      </c>
      <c r="M26" s="95">
        <f t="shared" si="0"/>
        <v>768.68</v>
      </c>
      <c r="N26" s="168">
        <f t="shared" si="1"/>
        <v>0</v>
      </c>
      <c r="O26" s="95">
        <f ca="1">IF('SVS UnterhaltsRG'!H61="",0,'SVS UnterhaltsRG'!H61)</f>
        <v>0</v>
      </c>
      <c r="P26" s="95">
        <f t="shared" si="2"/>
        <v>0</v>
      </c>
      <c r="Q26" s="95">
        <f t="shared" ca="1" si="3"/>
        <v>0</v>
      </c>
      <c r="R26" s="95">
        <f t="shared" si="4"/>
        <v>0</v>
      </c>
      <c r="S26" s="95">
        <f t="shared" ca="1" si="5"/>
        <v>0</v>
      </c>
      <c r="T26" s="3" t="str">
        <f t="shared" si="6"/>
        <v>Leistungswert eintragen</v>
      </c>
      <c r="U26" s="3">
        <f t="shared" si="7"/>
        <v>0</v>
      </c>
    </row>
    <row r="27" spans="1:21" ht="15" customHeight="1" x14ac:dyDescent="0.2">
      <c r="A27" s="153">
        <v>6</v>
      </c>
      <c r="B27" s="165"/>
      <c r="C27" s="166" t="s">
        <v>276</v>
      </c>
      <c r="D27" s="166"/>
      <c r="E27" s="166" t="s">
        <v>283</v>
      </c>
      <c r="F27" s="166" t="s">
        <v>284</v>
      </c>
      <c r="G27" s="167">
        <v>11.75</v>
      </c>
      <c r="H27" s="167"/>
      <c r="I27" s="167"/>
      <c r="J27" s="153" t="s">
        <v>313</v>
      </c>
      <c r="K27" s="167">
        <v>5</v>
      </c>
      <c r="L27" s="95">
        <f>VLOOKUP(K27,Reinigungstage!A10:B31,2,FALSE)</f>
        <v>215.33</v>
      </c>
      <c r="M27" s="95">
        <f t="shared" si="0"/>
        <v>2530.13</v>
      </c>
      <c r="N27" s="168">
        <f t="shared" si="1"/>
        <v>0</v>
      </c>
      <c r="O27" s="95">
        <f ca="1">IF('SVS UnterhaltsRG'!H61="",0,'SVS UnterhaltsRG'!H61)</f>
        <v>0</v>
      </c>
      <c r="P27" s="95">
        <f t="shared" si="2"/>
        <v>0</v>
      </c>
      <c r="Q27" s="95">
        <f t="shared" ca="1" si="3"/>
        <v>0</v>
      </c>
      <c r="R27" s="95">
        <f t="shared" si="4"/>
        <v>0</v>
      </c>
      <c r="S27" s="95">
        <f t="shared" ca="1" si="5"/>
        <v>0</v>
      </c>
      <c r="T27" s="3" t="str">
        <f t="shared" si="6"/>
        <v>Leistungswert eintragen</v>
      </c>
      <c r="U27" s="3">
        <f t="shared" si="7"/>
        <v>0</v>
      </c>
    </row>
    <row r="28" spans="1:21" ht="15" customHeight="1" x14ac:dyDescent="0.2">
      <c r="A28" s="153">
        <v>7</v>
      </c>
      <c r="B28" s="165"/>
      <c r="C28" s="166" t="s">
        <v>276</v>
      </c>
      <c r="D28" s="166"/>
      <c r="E28" s="166" t="s">
        <v>286</v>
      </c>
      <c r="F28" s="166" t="s">
        <v>287</v>
      </c>
      <c r="G28" s="167">
        <v>2.5</v>
      </c>
      <c r="H28" s="167"/>
      <c r="I28" s="167"/>
      <c r="J28" s="153" t="s">
        <v>312</v>
      </c>
      <c r="K28" s="153" t="s">
        <v>162</v>
      </c>
      <c r="L28" s="95">
        <f>VLOOKUP(K28,Reinigungstage!A10:B31,2,FALSE)</f>
        <v>11</v>
      </c>
      <c r="M28" s="95">
        <f t="shared" si="0"/>
        <v>27.5</v>
      </c>
      <c r="N28" s="168">
        <f t="shared" si="1"/>
        <v>0</v>
      </c>
      <c r="O28" s="95">
        <f ca="1">IF('SVS UnterhaltsRG'!H61="",0,'SVS UnterhaltsRG'!H61)</f>
        <v>0</v>
      </c>
      <c r="P28" s="95">
        <f t="shared" si="2"/>
        <v>0</v>
      </c>
      <c r="Q28" s="95">
        <f t="shared" ca="1" si="3"/>
        <v>0</v>
      </c>
      <c r="R28" s="95">
        <f t="shared" si="4"/>
        <v>0</v>
      </c>
      <c r="S28" s="95">
        <f t="shared" ca="1" si="5"/>
        <v>0</v>
      </c>
      <c r="T28" s="3" t="str">
        <f t="shared" si="6"/>
        <v>Leistungswert eintragen</v>
      </c>
      <c r="U28" s="3">
        <f t="shared" si="7"/>
        <v>0</v>
      </c>
    </row>
    <row r="29" spans="1:21" ht="15" customHeight="1" x14ac:dyDescent="0.2">
      <c r="A29" s="153">
        <v>8</v>
      </c>
      <c r="B29" s="165"/>
      <c r="C29" s="166" t="s">
        <v>276</v>
      </c>
      <c r="D29" s="166"/>
      <c r="E29" s="166" t="s">
        <v>288</v>
      </c>
      <c r="F29" s="166" t="s">
        <v>287</v>
      </c>
      <c r="G29" s="167">
        <v>40.520000000000003</v>
      </c>
      <c r="H29" s="167"/>
      <c r="I29" s="167"/>
      <c r="J29" s="153" t="s">
        <v>313</v>
      </c>
      <c r="K29" s="167">
        <v>5</v>
      </c>
      <c r="L29" s="95">
        <f>VLOOKUP(K29,Reinigungstage!A10:B31,2,FALSE)</f>
        <v>215.33</v>
      </c>
      <c r="M29" s="95">
        <f t="shared" si="0"/>
        <v>8725.17</v>
      </c>
      <c r="N29" s="168">
        <f t="shared" si="1"/>
        <v>0</v>
      </c>
      <c r="O29" s="95">
        <f ca="1">IF('SVS UnterhaltsRG'!H61="",0,'SVS UnterhaltsRG'!H61)</f>
        <v>0</v>
      </c>
      <c r="P29" s="95">
        <f t="shared" si="2"/>
        <v>0</v>
      </c>
      <c r="Q29" s="95">
        <f t="shared" ca="1" si="3"/>
        <v>0</v>
      </c>
      <c r="R29" s="95">
        <f t="shared" si="4"/>
        <v>0</v>
      </c>
      <c r="S29" s="95">
        <f t="shared" ca="1" si="5"/>
        <v>0</v>
      </c>
      <c r="T29" s="3" t="str">
        <f t="shared" si="6"/>
        <v>Leistungswert eintragen</v>
      </c>
      <c r="U29" s="3">
        <f t="shared" si="7"/>
        <v>0</v>
      </c>
    </row>
    <row r="30" spans="1:21" ht="15" customHeight="1" x14ac:dyDescent="0.2">
      <c r="A30" s="153">
        <v>9</v>
      </c>
      <c r="B30" s="165" t="s">
        <v>289</v>
      </c>
      <c r="C30" s="166" t="s">
        <v>276</v>
      </c>
      <c r="D30" s="166" t="s">
        <v>290</v>
      </c>
      <c r="E30" s="166" t="s">
        <v>291</v>
      </c>
      <c r="F30" s="166" t="s">
        <v>287</v>
      </c>
      <c r="G30" s="167">
        <v>14.46</v>
      </c>
      <c r="H30" s="167"/>
      <c r="I30" s="167"/>
      <c r="J30" s="153" t="s">
        <v>291</v>
      </c>
      <c r="K30" s="167">
        <v>5</v>
      </c>
      <c r="L30" s="95">
        <f>VLOOKUP(K30,Reinigungstage!A10:B31,2,FALSE)</f>
        <v>215.33</v>
      </c>
      <c r="M30" s="95">
        <f t="shared" si="0"/>
        <v>3113.67</v>
      </c>
      <c r="N30" s="168">
        <f t="shared" si="1"/>
        <v>0</v>
      </c>
      <c r="O30" s="95">
        <f ca="1">IF('SVS UnterhaltsRG'!H61="",0,'SVS UnterhaltsRG'!H61)</f>
        <v>0</v>
      </c>
      <c r="P30" s="95">
        <f t="shared" si="2"/>
        <v>0</v>
      </c>
      <c r="Q30" s="95">
        <f t="shared" ca="1" si="3"/>
        <v>0</v>
      </c>
      <c r="R30" s="95">
        <f t="shared" si="4"/>
        <v>0</v>
      </c>
      <c r="S30" s="95">
        <f t="shared" ca="1" si="5"/>
        <v>0</v>
      </c>
      <c r="T30" s="3" t="str">
        <f t="shared" si="6"/>
        <v>Leistungswert eintragen</v>
      </c>
      <c r="U30" s="3">
        <f t="shared" si="7"/>
        <v>0</v>
      </c>
    </row>
    <row r="31" spans="1:21" ht="15" customHeight="1" x14ac:dyDescent="0.2">
      <c r="A31" s="153">
        <v>10</v>
      </c>
      <c r="B31" s="165"/>
      <c r="C31" s="166" t="s">
        <v>276</v>
      </c>
      <c r="D31" s="166" t="s">
        <v>290</v>
      </c>
      <c r="E31" s="166" t="s">
        <v>292</v>
      </c>
      <c r="F31" s="166" t="s">
        <v>293</v>
      </c>
      <c r="G31" s="167">
        <v>5.4</v>
      </c>
      <c r="H31" s="167"/>
      <c r="I31" s="167"/>
      <c r="J31" s="153" t="s">
        <v>314</v>
      </c>
      <c r="K31" s="167">
        <v>5</v>
      </c>
      <c r="L31" s="95">
        <f>VLOOKUP(K31,Reinigungstage!A10:B31,2,FALSE)</f>
        <v>215.33</v>
      </c>
      <c r="M31" s="95">
        <f t="shared" si="0"/>
        <v>1162.78</v>
      </c>
      <c r="N31" s="168">
        <f t="shared" si="1"/>
        <v>0</v>
      </c>
      <c r="O31" s="95">
        <f ca="1">IF('SVS UnterhaltsRG'!H61="",0,'SVS UnterhaltsRG'!H61)</f>
        <v>0</v>
      </c>
      <c r="P31" s="95">
        <f t="shared" si="2"/>
        <v>0</v>
      </c>
      <c r="Q31" s="95">
        <f t="shared" ca="1" si="3"/>
        <v>0</v>
      </c>
      <c r="R31" s="95">
        <f t="shared" si="4"/>
        <v>0</v>
      </c>
      <c r="S31" s="95">
        <f t="shared" ca="1" si="5"/>
        <v>0</v>
      </c>
      <c r="T31" s="3" t="str">
        <f t="shared" si="6"/>
        <v>Leistungswert eintragen</v>
      </c>
      <c r="U31" s="3">
        <f t="shared" si="7"/>
        <v>0</v>
      </c>
    </row>
    <row r="32" spans="1:21" ht="15" customHeight="1" x14ac:dyDescent="0.2">
      <c r="A32" s="153">
        <v>11</v>
      </c>
      <c r="B32" s="165"/>
      <c r="C32" s="166" t="s">
        <v>276</v>
      </c>
      <c r="D32" s="166" t="s">
        <v>290</v>
      </c>
      <c r="E32" s="166" t="s">
        <v>294</v>
      </c>
      <c r="F32" s="166" t="s">
        <v>293</v>
      </c>
      <c r="G32" s="167">
        <v>18.989999999999998</v>
      </c>
      <c r="H32" s="167"/>
      <c r="I32" s="167"/>
      <c r="J32" s="153" t="s">
        <v>314</v>
      </c>
      <c r="K32" s="167">
        <v>5</v>
      </c>
      <c r="L32" s="95">
        <f>VLOOKUP(K32,Reinigungstage!A10:B31,2,FALSE)</f>
        <v>215.33</v>
      </c>
      <c r="M32" s="95">
        <f t="shared" si="0"/>
        <v>4089.12</v>
      </c>
      <c r="N32" s="168">
        <f t="shared" si="1"/>
        <v>0</v>
      </c>
      <c r="O32" s="95">
        <f ca="1">IF('SVS UnterhaltsRG'!H61="",0,'SVS UnterhaltsRG'!H61)</f>
        <v>0</v>
      </c>
      <c r="P32" s="95">
        <f t="shared" si="2"/>
        <v>0</v>
      </c>
      <c r="Q32" s="95">
        <f t="shared" ca="1" si="3"/>
        <v>0</v>
      </c>
      <c r="R32" s="95">
        <f t="shared" si="4"/>
        <v>0</v>
      </c>
      <c r="S32" s="95">
        <f t="shared" ca="1" si="5"/>
        <v>0</v>
      </c>
      <c r="T32" s="3" t="str">
        <f t="shared" si="6"/>
        <v>Leistungswert eintragen</v>
      </c>
      <c r="U32" s="3">
        <f t="shared" si="7"/>
        <v>0</v>
      </c>
    </row>
    <row r="33" spans="1:21" ht="15" customHeight="1" x14ac:dyDescent="0.2">
      <c r="A33" s="153">
        <v>12</v>
      </c>
      <c r="B33" s="165"/>
      <c r="C33" s="166" t="s">
        <v>276</v>
      </c>
      <c r="D33" s="166" t="s">
        <v>290</v>
      </c>
      <c r="E33" s="166" t="s">
        <v>295</v>
      </c>
      <c r="F33" s="166" t="s">
        <v>293</v>
      </c>
      <c r="G33" s="167">
        <v>1.83</v>
      </c>
      <c r="H33" s="167"/>
      <c r="I33" s="167"/>
      <c r="J33" s="153" t="s">
        <v>314</v>
      </c>
      <c r="K33" s="167">
        <v>5</v>
      </c>
      <c r="L33" s="95">
        <f>VLOOKUP(K33,Reinigungstage!A10:B31,2,FALSE)</f>
        <v>215.33</v>
      </c>
      <c r="M33" s="95">
        <f t="shared" si="0"/>
        <v>394.05</v>
      </c>
      <c r="N33" s="168">
        <f t="shared" si="1"/>
        <v>0</v>
      </c>
      <c r="O33" s="95">
        <f ca="1">IF('SVS UnterhaltsRG'!H61="",0,'SVS UnterhaltsRG'!H61)</f>
        <v>0</v>
      </c>
      <c r="P33" s="95">
        <f t="shared" si="2"/>
        <v>0</v>
      </c>
      <c r="Q33" s="95">
        <f t="shared" ca="1" si="3"/>
        <v>0</v>
      </c>
      <c r="R33" s="95">
        <f t="shared" si="4"/>
        <v>0</v>
      </c>
      <c r="S33" s="95">
        <f t="shared" ca="1" si="5"/>
        <v>0</v>
      </c>
      <c r="T33" s="3" t="str">
        <f t="shared" si="6"/>
        <v>Leistungswert eintragen</v>
      </c>
      <c r="U33" s="3">
        <f t="shared" si="7"/>
        <v>0</v>
      </c>
    </row>
    <row r="34" spans="1:21" ht="15" customHeight="1" x14ac:dyDescent="0.2">
      <c r="A34" s="153">
        <v>13</v>
      </c>
      <c r="B34" s="165"/>
      <c r="C34" s="166" t="s">
        <v>276</v>
      </c>
      <c r="D34" s="166" t="s">
        <v>290</v>
      </c>
      <c r="E34" s="166" t="s">
        <v>296</v>
      </c>
      <c r="F34" s="166" t="s">
        <v>293</v>
      </c>
      <c r="G34" s="167">
        <v>3.85</v>
      </c>
      <c r="H34" s="167"/>
      <c r="I34" s="167"/>
      <c r="J34" s="153" t="s">
        <v>314</v>
      </c>
      <c r="K34" s="167">
        <v>5</v>
      </c>
      <c r="L34" s="95">
        <f>VLOOKUP(K34,Reinigungstage!A10:B31,2,FALSE)</f>
        <v>215.33</v>
      </c>
      <c r="M34" s="95">
        <f t="shared" si="0"/>
        <v>829.02</v>
      </c>
      <c r="N34" s="168">
        <f t="shared" si="1"/>
        <v>0</v>
      </c>
      <c r="O34" s="95">
        <f ca="1">IF('SVS UnterhaltsRG'!H61="",0,'SVS UnterhaltsRG'!H61)</f>
        <v>0</v>
      </c>
      <c r="P34" s="95">
        <f t="shared" si="2"/>
        <v>0</v>
      </c>
      <c r="Q34" s="95">
        <f t="shared" ca="1" si="3"/>
        <v>0</v>
      </c>
      <c r="R34" s="95">
        <f t="shared" si="4"/>
        <v>0</v>
      </c>
      <c r="S34" s="95">
        <f t="shared" ca="1" si="5"/>
        <v>0</v>
      </c>
      <c r="T34" s="3" t="str">
        <f t="shared" si="6"/>
        <v>Leistungswert eintragen</v>
      </c>
      <c r="U34" s="3">
        <f t="shared" si="7"/>
        <v>0</v>
      </c>
    </row>
    <row r="35" spans="1:21" ht="15" customHeight="1" x14ac:dyDescent="0.2">
      <c r="A35" s="153">
        <v>14</v>
      </c>
      <c r="B35" s="165"/>
      <c r="C35" s="166" t="s">
        <v>276</v>
      </c>
      <c r="D35" s="166" t="s">
        <v>290</v>
      </c>
      <c r="E35" s="166" t="s">
        <v>292</v>
      </c>
      <c r="F35" s="166" t="s">
        <v>293</v>
      </c>
      <c r="G35" s="167">
        <v>5.41</v>
      </c>
      <c r="H35" s="167"/>
      <c r="I35" s="167"/>
      <c r="J35" s="153" t="s">
        <v>314</v>
      </c>
      <c r="K35" s="167">
        <v>5</v>
      </c>
      <c r="L35" s="95">
        <f>VLOOKUP(K35,Reinigungstage!A10:B31,2,FALSE)</f>
        <v>215.33</v>
      </c>
      <c r="M35" s="95">
        <f t="shared" si="0"/>
        <v>1164.94</v>
      </c>
      <c r="N35" s="168">
        <f t="shared" si="1"/>
        <v>0</v>
      </c>
      <c r="O35" s="95">
        <f ca="1">IF('SVS UnterhaltsRG'!H61="",0,'SVS UnterhaltsRG'!H61)</f>
        <v>0</v>
      </c>
      <c r="P35" s="95">
        <f t="shared" si="2"/>
        <v>0</v>
      </c>
      <c r="Q35" s="95">
        <f t="shared" ca="1" si="3"/>
        <v>0</v>
      </c>
      <c r="R35" s="95">
        <f t="shared" si="4"/>
        <v>0</v>
      </c>
      <c r="S35" s="95">
        <f t="shared" ca="1" si="5"/>
        <v>0</v>
      </c>
      <c r="T35" s="3" t="str">
        <f t="shared" si="6"/>
        <v>Leistungswert eintragen</v>
      </c>
      <c r="U35" s="3">
        <f t="shared" si="7"/>
        <v>0</v>
      </c>
    </row>
    <row r="36" spans="1:21" ht="15" customHeight="1" x14ac:dyDescent="0.2">
      <c r="A36" s="153">
        <v>15</v>
      </c>
      <c r="B36" s="165" t="s">
        <v>297</v>
      </c>
      <c r="C36" s="166" t="s">
        <v>276</v>
      </c>
      <c r="D36" s="166" t="s">
        <v>290</v>
      </c>
      <c r="E36" s="166" t="s">
        <v>291</v>
      </c>
      <c r="F36" s="166" t="s">
        <v>287</v>
      </c>
      <c r="G36" s="167">
        <v>14.58</v>
      </c>
      <c r="H36" s="167"/>
      <c r="I36" s="167"/>
      <c r="J36" s="153" t="s">
        <v>291</v>
      </c>
      <c r="K36" s="167">
        <v>5</v>
      </c>
      <c r="L36" s="95">
        <f>VLOOKUP(K36,Reinigungstage!A10:B31,2,FALSE)</f>
        <v>215.33</v>
      </c>
      <c r="M36" s="95">
        <f t="shared" si="0"/>
        <v>3139.51</v>
      </c>
      <c r="N36" s="168">
        <f t="shared" si="1"/>
        <v>0</v>
      </c>
      <c r="O36" s="95">
        <f ca="1">IF('SVS UnterhaltsRG'!H61="",0,'SVS UnterhaltsRG'!H61)</f>
        <v>0</v>
      </c>
      <c r="P36" s="95">
        <f t="shared" si="2"/>
        <v>0</v>
      </c>
      <c r="Q36" s="95">
        <f t="shared" ca="1" si="3"/>
        <v>0</v>
      </c>
      <c r="R36" s="95">
        <f t="shared" si="4"/>
        <v>0</v>
      </c>
      <c r="S36" s="95">
        <f t="shared" ca="1" si="5"/>
        <v>0</v>
      </c>
      <c r="T36" s="3" t="str">
        <f t="shared" si="6"/>
        <v>Leistungswert eintragen</v>
      </c>
      <c r="U36" s="3">
        <f t="shared" si="7"/>
        <v>0</v>
      </c>
    </row>
    <row r="37" spans="1:21" ht="15" customHeight="1" x14ac:dyDescent="0.2">
      <c r="A37" s="153">
        <v>16</v>
      </c>
      <c r="B37" s="165"/>
      <c r="C37" s="166" t="s">
        <v>276</v>
      </c>
      <c r="D37" s="166" t="s">
        <v>290</v>
      </c>
      <c r="E37" s="166" t="s">
        <v>298</v>
      </c>
      <c r="F37" s="166" t="s">
        <v>287</v>
      </c>
      <c r="G37" s="167">
        <v>6.55</v>
      </c>
      <c r="H37" s="167"/>
      <c r="I37" s="167"/>
      <c r="J37" s="153" t="s">
        <v>291</v>
      </c>
      <c r="K37" s="167">
        <v>5</v>
      </c>
      <c r="L37" s="95">
        <f>VLOOKUP(K37,Reinigungstage!A10:B31,2,FALSE)</f>
        <v>215.33</v>
      </c>
      <c r="M37" s="95">
        <f t="shared" si="0"/>
        <v>1410.41</v>
      </c>
      <c r="N37" s="168">
        <f t="shared" si="1"/>
        <v>0</v>
      </c>
      <c r="O37" s="95">
        <f ca="1">IF('SVS UnterhaltsRG'!H61="",0,'SVS UnterhaltsRG'!H61)</f>
        <v>0</v>
      </c>
      <c r="P37" s="95">
        <f t="shared" si="2"/>
        <v>0</v>
      </c>
      <c r="Q37" s="95">
        <f t="shared" ca="1" si="3"/>
        <v>0</v>
      </c>
      <c r="R37" s="95">
        <f t="shared" si="4"/>
        <v>0</v>
      </c>
      <c r="S37" s="95">
        <f t="shared" ca="1" si="5"/>
        <v>0</v>
      </c>
      <c r="T37" s="3" t="str">
        <f t="shared" si="6"/>
        <v>Leistungswert eintragen</v>
      </c>
      <c r="U37" s="3">
        <f t="shared" si="7"/>
        <v>0</v>
      </c>
    </row>
    <row r="38" spans="1:21" ht="15" customHeight="1" x14ac:dyDescent="0.2">
      <c r="A38" s="153">
        <v>17</v>
      </c>
      <c r="B38" s="165"/>
      <c r="C38" s="166" t="s">
        <v>276</v>
      </c>
      <c r="D38" s="166" t="s">
        <v>290</v>
      </c>
      <c r="E38" s="166" t="s">
        <v>299</v>
      </c>
      <c r="F38" s="166" t="s">
        <v>293</v>
      </c>
      <c r="G38" s="167">
        <v>3.69</v>
      </c>
      <c r="H38" s="167"/>
      <c r="I38" s="167"/>
      <c r="J38" s="153" t="s">
        <v>314</v>
      </c>
      <c r="K38" s="167">
        <v>5</v>
      </c>
      <c r="L38" s="95">
        <f>VLOOKUP(K38,Reinigungstage!A10:B31,2,FALSE)</f>
        <v>215.33</v>
      </c>
      <c r="M38" s="95">
        <f t="shared" si="0"/>
        <v>794.57</v>
      </c>
      <c r="N38" s="168">
        <f t="shared" si="1"/>
        <v>0</v>
      </c>
      <c r="O38" s="95">
        <f ca="1">IF('SVS UnterhaltsRG'!H61="",0,'SVS UnterhaltsRG'!H61)</f>
        <v>0</v>
      </c>
      <c r="P38" s="95">
        <f t="shared" si="2"/>
        <v>0</v>
      </c>
      <c r="Q38" s="95">
        <f t="shared" ca="1" si="3"/>
        <v>0</v>
      </c>
      <c r="R38" s="95">
        <f t="shared" si="4"/>
        <v>0</v>
      </c>
      <c r="S38" s="95">
        <f t="shared" ca="1" si="5"/>
        <v>0</v>
      </c>
      <c r="T38" s="3" t="str">
        <f t="shared" si="6"/>
        <v>Leistungswert eintragen</v>
      </c>
      <c r="U38" s="3">
        <f t="shared" si="7"/>
        <v>0</v>
      </c>
    </row>
    <row r="39" spans="1:21" ht="15" customHeight="1" x14ac:dyDescent="0.2">
      <c r="A39" s="153">
        <v>18</v>
      </c>
      <c r="B39" s="165"/>
      <c r="C39" s="166" t="s">
        <v>276</v>
      </c>
      <c r="D39" s="166" t="s">
        <v>290</v>
      </c>
      <c r="E39" s="166" t="s">
        <v>296</v>
      </c>
      <c r="F39" s="166" t="s">
        <v>293</v>
      </c>
      <c r="G39" s="167">
        <v>4.99</v>
      </c>
      <c r="H39" s="167"/>
      <c r="I39" s="167"/>
      <c r="J39" s="153" t="s">
        <v>314</v>
      </c>
      <c r="K39" s="167">
        <v>5</v>
      </c>
      <c r="L39" s="95">
        <f>VLOOKUP(K39,Reinigungstage!A10:B31,2,FALSE)</f>
        <v>215.33</v>
      </c>
      <c r="M39" s="95">
        <f t="shared" si="0"/>
        <v>1074.5</v>
      </c>
      <c r="N39" s="168">
        <f t="shared" si="1"/>
        <v>0</v>
      </c>
      <c r="O39" s="95">
        <f ca="1">IF('SVS UnterhaltsRG'!H61="",0,'SVS UnterhaltsRG'!H61)</f>
        <v>0</v>
      </c>
      <c r="P39" s="95">
        <f t="shared" si="2"/>
        <v>0</v>
      </c>
      <c r="Q39" s="95">
        <f t="shared" ca="1" si="3"/>
        <v>0</v>
      </c>
      <c r="R39" s="95">
        <f t="shared" si="4"/>
        <v>0</v>
      </c>
      <c r="S39" s="95">
        <f t="shared" ca="1" si="5"/>
        <v>0</v>
      </c>
      <c r="T39" s="3" t="str">
        <f t="shared" si="6"/>
        <v>Leistungswert eintragen</v>
      </c>
      <c r="U39" s="3">
        <f t="shared" si="7"/>
        <v>0</v>
      </c>
    </row>
    <row r="40" spans="1:21" ht="15" customHeight="1" x14ac:dyDescent="0.2">
      <c r="A40" s="153">
        <v>19</v>
      </c>
      <c r="B40" s="165"/>
      <c r="C40" s="166" t="s">
        <v>276</v>
      </c>
      <c r="D40" s="166"/>
      <c r="E40" s="166" t="s">
        <v>300</v>
      </c>
      <c r="F40" s="166" t="s">
        <v>287</v>
      </c>
      <c r="G40" s="167">
        <v>13.2</v>
      </c>
      <c r="H40" s="167"/>
      <c r="I40" s="167"/>
      <c r="J40" s="153" t="s">
        <v>315</v>
      </c>
      <c r="K40" s="167">
        <v>1</v>
      </c>
      <c r="L40" s="95">
        <f>VLOOKUP(K40,Reinigungstage!A10:B31,2,FALSE)</f>
        <v>44.73</v>
      </c>
      <c r="M40" s="95">
        <f t="shared" si="0"/>
        <v>590.44000000000005</v>
      </c>
      <c r="N40" s="168">
        <f t="shared" si="1"/>
        <v>0</v>
      </c>
      <c r="O40" s="95">
        <f ca="1">IF('SVS UnterhaltsRG'!H61="",0,'SVS UnterhaltsRG'!H61)</f>
        <v>0</v>
      </c>
      <c r="P40" s="95">
        <f t="shared" si="2"/>
        <v>0</v>
      </c>
      <c r="Q40" s="95">
        <f t="shared" ca="1" si="3"/>
        <v>0</v>
      </c>
      <c r="R40" s="95">
        <f t="shared" si="4"/>
        <v>0</v>
      </c>
      <c r="S40" s="95">
        <f t="shared" ca="1" si="5"/>
        <v>0</v>
      </c>
      <c r="T40" s="3" t="str">
        <f t="shared" si="6"/>
        <v>Leistungswert eintragen</v>
      </c>
      <c r="U40" s="3">
        <f t="shared" si="7"/>
        <v>0</v>
      </c>
    </row>
    <row r="41" spans="1:21" ht="15" customHeight="1" x14ac:dyDescent="0.2">
      <c r="A41" s="153">
        <v>20</v>
      </c>
      <c r="B41" s="165"/>
      <c r="C41" s="166" t="s">
        <v>276</v>
      </c>
      <c r="D41" s="166" t="s">
        <v>301</v>
      </c>
      <c r="E41" s="166" t="s">
        <v>288</v>
      </c>
      <c r="F41" s="166" t="s">
        <v>287</v>
      </c>
      <c r="G41" s="167">
        <v>31.76</v>
      </c>
      <c r="H41" s="167"/>
      <c r="I41" s="167"/>
      <c r="J41" s="153" t="s">
        <v>313</v>
      </c>
      <c r="K41" s="167">
        <v>5</v>
      </c>
      <c r="L41" s="95">
        <f>VLOOKUP(K41,Reinigungstage!A10:B31,2,FALSE)</f>
        <v>215.33</v>
      </c>
      <c r="M41" s="95">
        <f t="shared" si="0"/>
        <v>6838.88</v>
      </c>
      <c r="N41" s="168">
        <f t="shared" si="1"/>
        <v>0</v>
      </c>
      <c r="O41" s="95">
        <f ca="1">IF('SVS UnterhaltsRG'!H61="",0,'SVS UnterhaltsRG'!H61)</f>
        <v>0</v>
      </c>
      <c r="P41" s="95">
        <f t="shared" si="2"/>
        <v>0</v>
      </c>
      <c r="Q41" s="95">
        <f t="shared" ca="1" si="3"/>
        <v>0</v>
      </c>
      <c r="R41" s="95">
        <f t="shared" si="4"/>
        <v>0</v>
      </c>
      <c r="S41" s="95">
        <f t="shared" ca="1" si="5"/>
        <v>0</v>
      </c>
      <c r="T41" s="3" t="str">
        <f t="shared" si="6"/>
        <v>Leistungswert eintragen</v>
      </c>
      <c r="U41" s="3">
        <f t="shared" si="7"/>
        <v>0</v>
      </c>
    </row>
    <row r="42" spans="1:21" ht="15" customHeight="1" x14ac:dyDescent="0.2">
      <c r="A42" s="153">
        <v>21</v>
      </c>
      <c r="B42" s="165"/>
      <c r="C42" s="166" t="s">
        <v>276</v>
      </c>
      <c r="D42" s="166" t="s">
        <v>301</v>
      </c>
      <c r="E42" s="166" t="s">
        <v>298</v>
      </c>
      <c r="F42" s="166" t="s">
        <v>287</v>
      </c>
      <c r="G42" s="167">
        <v>6.57</v>
      </c>
      <c r="H42" s="167"/>
      <c r="I42" s="167"/>
      <c r="J42" s="153" t="s">
        <v>291</v>
      </c>
      <c r="K42" s="167">
        <v>5</v>
      </c>
      <c r="L42" s="95">
        <f>VLOOKUP(K42,Reinigungstage!A10:B31,2,FALSE)</f>
        <v>215.33</v>
      </c>
      <c r="M42" s="95">
        <f t="shared" si="0"/>
        <v>1414.72</v>
      </c>
      <c r="N42" s="168">
        <f t="shared" si="1"/>
        <v>0</v>
      </c>
      <c r="O42" s="95">
        <f ca="1">IF('SVS UnterhaltsRG'!H61="",0,'SVS UnterhaltsRG'!H61)</f>
        <v>0</v>
      </c>
      <c r="P42" s="95">
        <f t="shared" si="2"/>
        <v>0</v>
      </c>
      <c r="Q42" s="95">
        <f t="shared" ca="1" si="3"/>
        <v>0</v>
      </c>
      <c r="R42" s="95">
        <f t="shared" si="4"/>
        <v>0</v>
      </c>
      <c r="S42" s="95">
        <f t="shared" ca="1" si="5"/>
        <v>0</v>
      </c>
      <c r="T42" s="3" t="str">
        <f t="shared" si="6"/>
        <v>Leistungswert eintragen</v>
      </c>
      <c r="U42" s="3">
        <f t="shared" si="7"/>
        <v>0</v>
      </c>
    </row>
    <row r="43" spans="1:21" ht="15" customHeight="1" x14ac:dyDescent="0.2">
      <c r="A43" s="153">
        <v>22</v>
      </c>
      <c r="B43" s="165"/>
      <c r="C43" s="166" t="s">
        <v>276</v>
      </c>
      <c r="D43" s="166" t="s">
        <v>301</v>
      </c>
      <c r="E43" s="166" t="s">
        <v>299</v>
      </c>
      <c r="F43" s="166" t="s">
        <v>293</v>
      </c>
      <c r="G43" s="167">
        <v>4.0999999999999996</v>
      </c>
      <c r="H43" s="167"/>
      <c r="I43" s="167"/>
      <c r="J43" s="153" t="s">
        <v>314</v>
      </c>
      <c r="K43" s="167">
        <v>5</v>
      </c>
      <c r="L43" s="95">
        <f>VLOOKUP(K43,Reinigungstage!A10:B31,2,FALSE)</f>
        <v>215.33</v>
      </c>
      <c r="M43" s="95">
        <f t="shared" si="0"/>
        <v>882.85</v>
      </c>
      <c r="N43" s="168">
        <f t="shared" si="1"/>
        <v>0</v>
      </c>
      <c r="O43" s="95">
        <f ca="1">IF('SVS UnterhaltsRG'!H61="",0,'SVS UnterhaltsRG'!H61)</f>
        <v>0</v>
      </c>
      <c r="P43" s="95">
        <f t="shared" si="2"/>
        <v>0</v>
      </c>
      <c r="Q43" s="95">
        <f t="shared" ca="1" si="3"/>
        <v>0</v>
      </c>
      <c r="R43" s="95">
        <f t="shared" si="4"/>
        <v>0</v>
      </c>
      <c r="S43" s="95">
        <f t="shared" ca="1" si="5"/>
        <v>0</v>
      </c>
      <c r="T43" s="3" t="str">
        <f t="shared" si="6"/>
        <v>Leistungswert eintragen</v>
      </c>
      <c r="U43" s="3">
        <f t="shared" si="7"/>
        <v>0</v>
      </c>
    </row>
    <row r="44" spans="1:21" ht="15" customHeight="1" x14ac:dyDescent="0.2">
      <c r="A44" s="153">
        <v>23</v>
      </c>
      <c r="B44" s="165" t="s">
        <v>289</v>
      </c>
      <c r="C44" s="166" t="s">
        <v>276</v>
      </c>
      <c r="D44" s="166" t="s">
        <v>301</v>
      </c>
      <c r="E44" s="166" t="s">
        <v>291</v>
      </c>
      <c r="F44" s="166" t="s">
        <v>287</v>
      </c>
      <c r="G44" s="167">
        <v>14.53</v>
      </c>
      <c r="H44" s="167"/>
      <c r="I44" s="167"/>
      <c r="J44" s="153" t="s">
        <v>291</v>
      </c>
      <c r="K44" s="167">
        <v>5</v>
      </c>
      <c r="L44" s="95">
        <f>VLOOKUP(K44,Reinigungstage!A10:B31,2,FALSE)</f>
        <v>215.33</v>
      </c>
      <c r="M44" s="95">
        <f t="shared" si="0"/>
        <v>3128.74</v>
      </c>
      <c r="N44" s="168">
        <f t="shared" si="1"/>
        <v>0</v>
      </c>
      <c r="O44" s="95">
        <f ca="1">IF('SVS UnterhaltsRG'!H61="",0,'SVS UnterhaltsRG'!H61)</f>
        <v>0</v>
      </c>
      <c r="P44" s="95">
        <f t="shared" si="2"/>
        <v>0</v>
      </c>
      <c r="Q44" s="95">
        <f t="shared" ca="1" si="3"/>
        <v>0</v>
      </c>
      <c r="R44" s="95">
        <f t="shared" si="4"/>
        <v>0</v>
      </c>
      <c r="S44" s="95">
        <f t="shared" ca="1" si="5"/>
        <v>0</v>
      </c>
      <c r="T44" s="3" t="str">
        <f t="shared" si="6"/>
        <v>Leistungswert eintragen</v>
      </c>
      <c r="U44" s="3">
        <f t="shared" si="7"/>
        <v>0</v>
      </c>
    </row>
    <row r="45" spans="1:21" ht="15" customHeight="1" x14ac:dyDescent="0.2">
      <c r="A45" s="153">
        <v>24</v>
      </c>
      <c r="B45" s="165"/>
      <c r="C45" s="166" t="s">
        <v>276</v>
      </c>
      <c r="D45" s="166" t="s">
        <v>301</v>
      </c>
      <c r="E45" s="166" t="s">
        <v>292</v>
      </c>
      <c r="F45" s="166" t="s">
        <v>293</v>
      </c>
      <c r="G45" s="167">
        <v>5.59</v>
      </c>
      <c r="H45" s="167"/>
      <c r="I45" s="167"/>
      <c r="J45" s="153" t="s">
        <v>314</v>
      </c>
      <c r="K45" s="167">
        <v>5</v>
      </c>
      <c r="L45" s="95">
        <f>VLOOKUP(K45,Reinigungstage!A10:B31,2,FALSE)</f>
        <v>215.33</v>
      </c>
      <c r="M45" s="95">
        <f t="shared" si="0"/>
        <v>1203.69</v>
      </c>
      <c r="N45" s="168">
        <f t="shared" si="1"/>
        <v>0</v>
      </c>
      <c r="O45" s="95">
        <f ca="1">IF('SVS UnterhaltsRG'!H61="",0,'SVS UnterhaltsRG'!H61)</f>
        <v>0</v>
      </c>
      <c r="P45" s="95">
        <f t="shared" si="2"/>
        <v>0</v>
      </c>
      <c r="Q45" s="95">
        <f t="shared" ca="1" si="3"/>
        <v>0</v>
      </c>
      <c r="R45" s="95">
        <f t="shared" si="4"/>
        <v>0</v>
      </c>
      <c r="S45" s="95">
        <f t="shared" ca="1" si="5"/>
        <v>0</v>
      </c>
      <c r="T45" s="3" t="str">
        <f t="shared" si="6"/>
        <v>Leistungswert eintragen</v>
      </c>
      <c r="U45" s="3">
        <f t="shared" si="7"/>
        <v>0</v>
      </c>
    </row>
    <row r="46" spans="1:21" ht="15" customHeight="1" x14ac:dyDescent="0.2">
      <c r="A46" s="153">
        <v>25</v>
      </c>
      <c r="B46" s="165"/>
      <c r="C46" s="166" t="s">
        <v>276</v>
      </c>
      <c r="D46" s="166" t="s">
        <v>301</v>
      </c>
      <c r="E46" s="166" t="s">
        <v>294</v>
      </c>
      <c r="F46" s="166" t="s">
        <v>293</v>
      </c>
      <c r="G46" s="167">
        <v>18.489999999999998</v>
      </c>
      <c r="H46" s="167"/>
      <c r="I46" s="167"/>
      <c r="J46" s="153" t="s">
        <v>314</v>
      </c>
      <c r="K46" s="167">
        <v>5</v>
      </c>
      <c r="L46" s="95">
        <f>VLOOKUP(K46,Reinigungstage!A10:B31,2,FALSE)</f>
        <v>215.33</v>
      </c>
      <c r="M46" s="95">
        <f t="shared" si="0"/>
        <v>3981.45</v>
      </c>
      <c r="N46" s="168">
        <f t="shared" si="1"/>
        <v>0</v>
      </c>
      <c r="O46" s="95">
        <f ca="1">IF('SVS UnterhaltsRG'!H61="",0,'SVS UnterhaltsRG'!H61)</f>
        <v>0</v>
      </c>
      <c r="P46" s="95">
        <f t="shared" si="2"/>
        <v>0</v>
      </c>
      <c r="Q46" s="95">
        <f t="shared" ca="1" si="3"/>
        <v>0</v>
      </c>
      <c r="R46" s="95">
        <f t="shared" si="4"/>
        <v>0</v>
      </c>
      <c r="S46" s="95">
        <f t="shared" ca="1" si="5"/>
        <v>0</v>
      </c>
      <c r="T46" s="3" t="str">
        <f t="shared" si="6"/>
        <v>Leistungswert eintragen</v>
      </c>
      <c r="U46" s="3">
        <f t="shared" si="7"/>
        <v>0</v>
      </c>
    </row>
    <row r="47" spans="1:21" ht="15" customHeight="1" x14ac:dyDescent="0.2">
      <c r="A47" s="153">
        <v>26</v>
      </c>
      <c r="B47" s="165"/>
      <c r="C47" s="166" t="s">
        <v>276</v>
      </c>
      <c r="D47" s="166" t="s">
        <v>301</v>
      </c>
      <c r="E47" s="166" t="s">
        <v>296</v>
      </c>
      <c r="F47" s="166" t="s">
        <v>293</v>
      </c>
      <c r="G47" s="167">
        <v>3.9</v>
      </c>
      <c r="H47" s="167"/>
      <c r="I47" s="167"/>
      <c r="J47" s="153" t="s">
        <v>314</v>
      </c>
      <c r="K47" s="167">
        <v>5</v>
      </c>
      <c r="L47" s="95">
        <f>VLOOKUP(K47,Reinigungstage!A10:B31,2,FALSE)</f>
        <v>215.33</v>
      </c>
      <c r="M47" s="95">
        <f t="shared" si="0"/>
        <v>839.79</v>
      </c>
      <c r="N47" s="168">
        <f t="shared" si="1"/>
        <v>0</v>
      </c>
      <c r="O47" s="95">
        <f ca="1">IF('SVS UnterhaltsRG'!H61="",0,'SVS UnterhaltsRG'!H61)</f>
        <v>0</v>
      </c>
      <c r="P47" s="95">
        <f t="shared" si="2"/>
        <v>0</v>
      </c>
      <c r="Q47" s="95">
        <f t="shared" ca="1" si="3"/>
        <v>0</v>
      </c>
      <c r="R47" s="95">
        <f t="shared" si="4"/>
        <v>0</v>
      </c>
      <c r="S47" s="95">
        <f t="shared" ca="1" si="5"/>
        <v>0</v>
      </c>
      <c r="T47" s="3" t="str">
        <f t="shared" si="6"/>
        <v>Leistungswert eintragen</v>
      </c>
      <c r="U47" s="3">
        <f t="shared" si="7"/>
        <v>0</v>
      </c>
    </row>
    <row r="48" spans="1:21" ht="15" customHeight="1" x14ac:dyDescent="0.2">
      <c r="A48" s="153">
        <v>27</v>
      </c>
      <c r="B48" s="165"/>
      <c r="C48" s="166" t="s">
        <v>276</v>
      </c>
      <c r="D48" s="166" t="s">
        <v>301</v>
      </c>
      <c r="E48" s="166" t="s">
        <v>295</v>
      </c>
      <c r="F48" s="166" t="s">
        <v>293</v>
      </c>
      <c r="G48" s="167">
        <v>1.99</v>
      </c>
      <c r="H48" s="167"/>
      <c r="I48" s="167"/>
      <c r="J48" s="153" t="s">
        <v>314</v>
      </c>
      <c r="K48" s="167">
        <v>5</v>
      </c>
      <c r="L48" s="95">
        <f>VLOOKUP(K48,Reinigungstage!A10:B31,2,FALSE)</f>
        <v>215.33</v>
      </c>
      <c r="M48" s="95">
        <f t="shared" si="0"/>
        <v>428.51</v>
      </c>
      <c r="N48" s="168">
        <f t="shared" si="1"/>
        <v>0</v>
      </c>
      <c r="O48" s="95">
        <f ca="1">IF('SVS UnterhaltsRG'!H61="",0,'SVS UnterhaltsRG'!H61)</f>
        <v>0</v>
      </c>
      <c r="P48" s="95">
        <f t="shared" si="2"/>
        <v>0</v>
      </c>
      <c r="Q48" s="95">
        <f t="shared" ca="1" si="3"/>
        <v>0</v>
      </c>
      <c r="R48" s="95">
        <f t="shared" si="4"/>
        <v>0</v>
      </c>
      <c r="S48" s="95">
        <f t="shared" ca="1" si="5"/>
        <v>0</v>
      </c>
      <c r="T48" s="3" t="str">
        <f t="shared" si="6"/>
        <v>Leistungswert eintragen</v>
      </c>
      <c r="U48" s="3">
        <f t="shared" si="7"/>
        <v>0</v>
      </c>
    </row>
    <row r="49" spans="1:21" ht="15" customHeight="1" x14ac:dyDescent="0.2">
      <c r="A49" s="153">
        <v>28</v>
      </c>
      <c r="B49" s="165"/>
      <c r="C49" s="166" t="s">
        <v>276</v>
      </c>
      <c r="D49" s="166" t="s">
        <v>301</v>
      </c>
      <c r="E49" s="166" t="s">
        <v>292</v>
      </c>
      <c r="F49" s="166" t="s">
        <v>293</v>
      </c>
      <c r="G49" s="167">
        <v>5.59</v>
      </c>
      <c r="H49" s="167"/>
      <c r="I49" s="167"/>
      <c r="J49" s="153" t="s">
        <v>314</v>
      </c>
      <c r="K49" s="167">
        <v>5</v>
      </c>
      <c r="L49" s="95">
        <f>VLOOKUP(K49,Reinigungstage!A10:B31,2,FALSE)</f>
        <v>215.33</v>
      </c>
      <c r="M49" s="95">
        <f t="shared" si="0"/>
        <v>1203.69</v>
      </c>
      <c r="N49" s="168">
        <f t="shared" si="1"/>
        <v>0</v>
      </c>
      <c r="O49" s="95">
        <f ca="1">IF('SVS UnterhaltsRG'!H61="",0,'SVS UnterhaltsRG'!H61)</f>
        <v>0</v>
      </c>
      <c r="P49" s="95">
        <f t="shared" si="2"/>
        <v>0</v>
      </c>
      <c r="Q49" s="95">
        <f t="shared" ca="1" si="3"/>
        <v>0</v>
      </c>
      <c r="R49" s="95">
        <f t="shared" si="4"/>
        <v>0</v>
      </c>
      <c r="S49" s="95">
        <f t="shared" ca="1" si="5"/>
        <v>0</v>
      </c>
      <c r="T49" s="3" t="str">
        <f t="shared" si="6"/>
        <v>Leistungswert eintragen</v>
      </c>
      <c r="U49" s="3">
        <f t="shared" si="7"/>
        <v>0</v>
      </c>
    </row>
    <row r="50" spans="1:21" ht="15" customHeight="1" x14ac:dyDescent="0.2">
      <c r="A50" s="153">
        <v>29</v>
      </c>
      <c r="B50" s="165" t="s">
        <v>297</v>
      </c>
      <c r="C50" s="166" t="s">
        <v>276</v>
      </c>
      <c r="D50" s="166" t="s">
        <v>301</v>
      </c>
      <c r="E50" s="166" t="s">
        <v>291</v>
      </c>
      <c r="F50" s="166" t="s">
        <v>287</v>
      </c>
      <c r="G50" s="167">
        <v>14.56</v>
      </c>
      <c r="H50" s="167"/>
      <c r="I50" s="167"/>
      <c r="J50" s="153" t="s">
        <v>291</v>
      </c>
      <c r="K50" s="167">
        <v>5</v>
      </c>
      <c r="L50" s="95">
        <f>VLOOKUP(K50,Reinigungstage!A10:B31,2,FALSE)</f>
        <v>215.33</v>
      </c>
      <c r="M50" s="95">
        <f t="shared" si="0"/>
        <v>3135.2</v>
      </c>
      <c r="N50" s="168">
        <f t="shared" si="1"/>
        <v>0</v>
      </c>
      <c r="O50" s="95">
        <f ca="1">IF('SVS UnterhaltsRG'!H61="",0,'SVS UnterhaltsRG'!H61)</f>
        <v>0</v>
      </c>
      <c r="P50" s="95">
        <f t="shared" si="2"/>
        <v>0</v>
      </c>
      <c r="Q50" s="95">
        <f t="shared" ca="1" si="3"/>
        <v>0</v>
      </c>
      <c r="R50" s="95">
        <f t="shared" si="4"/>
        <v>0</v>
      </c>
      <c r="S50" s="95">
        <f t="shared" ca="1" si="5"/>
        <v>0</v>
      </c>
      <c r="T50" s="3" t="str">
        <f t="shared" si="6"/>
        <v>Leistungswert eintragen</v>
      </c>
      <c r="U50" s="3">
        <f t="shared" si="7"/>
        <v>0</v>
      </c>
    </row>
    <row r="51" spans="1:21" ht="15" customHeight="1" x14ac:dyDescent="0.2">
      <c r="A51" s="153">
        <v>30</v>
      </c>
      <c r="B51" s="165"/>
      <c r="C51" s="166" t="s">
        <v>276</v>
      </c>
      <c r="D51" s="166"/>
      <c r="E51" s="166" t="s">
        <v>302</v>
      </c>
      <c r="F51" s="166" t="s">
        <v>303</v>
      </c>
      <c r="G51" s="167">
        <v>10.09</v>
      </c>
      <c r="H51" s="167"/>
      <c r="I51" s="167"/>
      <c r="J51" s="153" t="s">
        <v>312</v>
      </c>
      <c r="K51" s="153" t="s">
        <v>162</v>
      </c>
      <c r="L51" s="95">
        <f>VLOOKUP(K51,Reinigungstage!A10:B31,2,FALSE)</f>
        <v>11</v>
      </c>
      <c r="M51" s="95">
        <f t="shared" si="0"/>
        <v>110.99</v>
      </c>
      <c r="N51" s="168">
        <f t="shared" si="1"/>
        <v>0</v>
      </c>
      <c r="O51" s="95">
        <f ca="1">IF('SVS UnterhaltsRG'!H61="",0,'SVS UnterhaltsRG'!H61)</f>
        <v>0</v>
      </c>
      <c r="P51" s="95">
        <f t="shared" si="2"/>
        <v>0</v>
      </c>
      <c r="Q51" s="95">
        <f t="shared" ca="1" si="3"/>
        <v>0</v>
      </c>
      <c r="R51" s="95">
        <f t="shared" si="4"/>
        <v>0</v>
      </c>
      <c r="S51" s="95">
        <f t="shared" ca="1" si="5"/>
        <v>0</v>
      </c>
      <c r="T51" s="3" t="str">
        <f t="shared" si="6"/>
        <v>Leistungswert eintragen</v>
      </c>
      <c r="U51" s="3">
        <f t="shared" si="7"/>
        <v>0</v>
      </c>
    </row>
    <row r="52" spans="1:21" ht="15" customHeight="1" x14ac:dyDescent="0.2">
      <c r="A52" s="153">
        <v>31</v>
      </c>
      <c r="B52" s="165"/>
      <c r="C52" s="166" t="s">
        <v>276</v>
      </c>
      <c r="D52" s="166" t="s">
        <v>301</v>
      </c>
      <c r="E52" s="166" t="s">
        <v>295</v>
      </c>
      <c r="F52" s="166" t="s">
        <v>293</v>
      </c>
      <c r="G52" s="167">
        <v>3.37</v>
      </c>
      <c r="H52" s="167"/>
      <c r="I52" s="167"/>
      <c r="J52" s="153" t="s">
        <v>314</v>
      </c>
      <c r="K52" s="167">
        <v>5</v>
      </c>
      <c r="L52" s="95">
        <f>VLOOKUP(K52,Reinigungstage!A10:B31,2,FALSE)</f>
        <v>215.33</v>
      </c>
      <c r="M52" s="95">
        <f t="shared" si="0"/>
        <v>725.66</v>
      </c>
      <c r="N52" s="168">
        <f t="shared" si="1"/>
        <v>0</v>
      </c>
      <c r="O52" s="95">
        <f ca="1">IF('SVS UnterhaltsRG'!H61="",0,'SVS UnterhaltsRG'!H61)</f>
        <v>0</v>
      </c>
      <c r="P52" s="95">
        <f t="shared" si="2"/>
        <v>0</v>
      </c>
      <c r="Q52" s="95">
        <f t="shared" ca="1" si="3"/>
        <v>0</v>
      </c>
      <c r="R52" s="95">
        <f t="shared" si="4"/>
        <v>0</v>
      </c>
      <c r="S52" s="95">
        <f t="shared" ca="1" si="5"/>
        <v>0</v>
      </c>
      <c r="T52" s="3" t="str">
        <f t="shared" si="6"/>
        <v>Leistungswert eintragen</v>
      </c>
      <c r="U52" s="3">
        <f t="shared" si="7"/>
        <v>0</v>
      </c>
    </row>
    <row r="53" spans="1:21" ht="15" customHeight="1" x14ac:dyDescent="0.2">
      <c r="A53" s="153">
        <v>32</v>
      </c>
      <c r="B53" s="165"/>
      <c r="C53" s="166" t="s">
        <v>276</v>
      </c>
      <c r="D53" s="166"/>
      <c r="E53" s="166" t="s">
        <v>304</v>
      </c>
      <c r="F53" s="166" t="s">
        <v>305</v>
      </c>
      <c r="G53" s="167">
        <v>3.37</v>
      </c>
      <c r="H53" s="167"/>
      <c r="I53" s="167"/>
      <c r="J53" s="153" t="s">
        <v>312</v>
      </c>
      <c r="K53" s="167">
        <v>0</v>
      </c>
      <c r="L53" s="95">
        <f>VLOOKUP(K53,Reinigungstage!A10:B31,2,FALSE)</f>
        <v>0</v>
      </c>
      <c r="M53" s="95">
        <f t="shared" si="0"/>
        <v>0</v>
      </c>
      <c r="N53" s="168">
        <f t="shared" si="1"/>
        <v>0</v>
      </c>
      <c r="O53" s="95">
        <f ca="1">IF('SVS UnterhaltsRG'!H61="",0,'SVS UnterhaltsRG'!H61)</f>
        <v>0</v>
      </c>
      <c r="P53" s="95">
        <f t="shared" si="2"/>
        <v>0</v>
      </c>
      <c r="Q53" s="95">
        <f t="shared" si="3"/>
        <v>0</v>
      </c>
      <c r="R53" s="95">
        <f t="shared" si="4"/>
        <v>0</v>
      </c>
      <c r="S53" s="95">
        <f t="shared" si="5"/>
        <v>0</v>
      </c>
      <c r="T53" s="3" t="str">
        <f t="shared" si="6"/>
        <v/>
      </c>
      <c r="U53" s="3">
        <f t="shared" si="7"/>
        <v>0</v>
      </c>
    </row>
    <row r="54" spans="1:21" ht="15" customHeight="1" x14ac:dyDescent="0.2">
      <c r="A54" s="153">
        <v>33</v>
      </c>
      <c r="B54" s="165"/>
      <c r="C54" s="166" t="s">
        <v>306</v>
      </c>
      <c r="D54" s="166"/>
      <c r="E54" s="166" t="s">
        <v>307</v>
      </c>
      <c r="F54" s="166" t="s">
        <v>287</v>
      </c>
      <c r="G54" s="167">
        <v>157.68</v>
      </c>
      <c r="H54" s="167"/>
      <c r="I54" s="167"/>
      <c r="J54" s="153" t="s">
        <v>315</v>
      </c>
      <c r="K54" s="167">
        <v>0.5</v>
      </c>
      <c r="L54" s="95">
        <f>VLOOKUP(K54,Reinigungstage!A10:B31,2,FALSE)</f>
        <v>22.37</v>
      </c>
      <c r="M54" s="95">
        <f t="shared" si="0"/>
        <v>3527.3</v>
      </c>
      <c r="N54" s="168">
        <f t="shared" si="1"/>
        <v>0</v>
      </c>
      <c r="O54" s="95">
        <f ca="1">IF('SVS UnterhaltsRG'!H61="",0,'SVS UnterhaltsRG'!H61)</f>
        <v>0</v>
      </c>
      <c r="P54" s="95">
        <f t="shared" si="2"/>
        <v>0</v>
      </c>
      <c r="Q54" s="95">
        <f t="shared" ca="1" si="3"/>
        <v>0</v>
      </c>
      <c r="R54" s="95">
        <f t="shared" si="4"/>
        <v>0</v>
      </c>
      <c r="S54" s="95">
        <f t="shared" ca="1" si="5"/>
        <v>0</v>
      </c>
      <c r="T54" s="3" t="str">
        <f t="shared" si="6"/>
        <v>Leistungswert eintragen</v>
      </c>
      <c r="U54" s="3">
        <f t="shared" si="7"/>
        <v>0</v>
      </c>
    </row>
    <row r="55" spans="1:21" ht="21" x14ac:dyDescent="0.2">
      <c r="A55" s="153">
        <v>34</v>
      </c>
      <c r="B55" s="165"/>
      <c r="C55" s="166" t="s">
        <v>306</v>
      </c>
      <c r="D55" s="166" t="s">
        <v>307</v>
      </c>
      <c r="E55" s="166" t="s">
        <v>308</v>
      </c>
      <c r="F55" s="166" t="s">
        <v>284</v>
      </c>
      <c r="G55" s="167">
        <v>11.7</v>
      </c>
      <c r="H55" s="167"/>
      <c r="I55" s="167"/>
      <c r="J55" s="153" t="s">
        <v>312</v>
      </c>
      <c r="K55" s="153" t="s">
        <v>162</v>
      </c>
      <c r="L55" s="95">
        <f>VLOOKUP(K55,Reinigungstage!A10:B31,2,FALSE)</f>
        <v>11</v>
      </c>
      <c r="M55" s="95">
        <f t="shared" si="0"/>
        <v>128.69999999999999</v>
      </c>
      <c r="N55" s="168">
        <f t="shared" si="1"/>
        <v>0</v>
      </c>
      <c r="O55" s="95">
        <f ca="1">IF('SVS UnterhaltsRG'!H61="",0,'SVS UnterhaltsRG'!H61)</f>
        <v>0</v>
      </c>
      <c r="P55" s="95">
        <f t="shared" si="2"/>
        <v>0</v>
      </c>
      <c r="Q55" s="95">
        <f t="shared" ca="1" si="3"/>
        <v>0</v>
      </c>
      <c r="R55" s="95">
        <f t="shared" si="4"/>
        <v>0</v>
      </c>
      <c r="S55" s="95">
        <f t="shared" ca="1" si="5"/>
        <v>0</v>
      </c>
      <c r="T55" s="3" t="str">
        <f t="shared" si="6"/>
        <v>Leistungswert eintragen</v>
      </c>
      <c r="U55" s="3">
        <f t="shared" si="7"/>
        <v>0</v>
      </c>
    </row>
    <row r="56" spans="1:21" ht="15" customHeight="1" x14ac:dyDescent="0.2">
      <c r="A56" s="153">
        <v>35</v>
      </c>
      <c r="B56" s="165"/>
      <c r="C56" s="166" t="s">
        <v>306</v>
      </c>
      <c r="D56" s="166"/>
      <c r="E56" s="166" t="s">
        <v>309</v>
      </c>
      <c r="F56" s="166" t="s">
        <v>287</v>
      </c>
      <c r="G56" s="167">
        <v>10.25</v>
      </c>
      <c r="H56" s="167"/>
      <c r="I56" s="167"/>
      <c r="J56" s="153" t="s">
        <v>310</v>
      </c>
      <c r="K56" s="167">
        <v>5</v>
      </c>
      <c r="L56" s="95">
        <f>VLOOKUP(K56,Reinigungstage!A10:B31,2,FALSE)</f>
        <v>215.33</v>
      </c>
      <c r="M56" s="95">
        <f t="shared" si="0"/>
        <v>2207.13</v>
      </c>
      <c r="N56" s="168">
        <f t="shared" si="1"/>
        <v>0</v>
      </c>
      <c r="O56" s="95">
        <f ca="1">IF('SVS UnterhaltsRG'!H61="",0,'SVS UnterhaltsRG'!H61)</f>
        <v>0</v>
      </c>
      <c r="P56" s="95">
        <f t="shared" si="2"/>
        <v>0</v>
      </c>
      <c r="Q56" s="95">
        <f t="shared" ca="1" si="3"/>
        <v>0</v>
      </c>
      <c r="R56" s="95">
        <f t="shared" si="4"/>
        <v>0</v>
      </c>
      <c r="S56" s="95">
        <f t="shared" ca="1" si="5"/>
        <v>0</v>
      </c>
      <c r="T56" s="3" t="str">
        <f t="shared" si="6"/>
        <v>Leistungswert eintragen</v>
      </c>
      <c r="U56" s="3">
        <f t="shared" si="7"/>
        <v>0</v>
      </c>
    </row>
    <row r="57" spans="1:21" ht="15" customHeight="1" x14ac:dyDescent="0.2">
      <c r="A57" s="153">
        <v>36</v>
      </c>
      <c r="B57" s="165"/>
      <c r="C57" s="166" t="s">
        <v>306</v>
      </c>
      <c r="D57" s="166"/>
      <c r="E57" s="166" t="s">
        <v>310</v>
      </c>
      <c r="F57" s="166" t="s">
        <v>284</v>
      </c>
      <c r="G57" s="167">
        <v>5.8</v>
      </c>
      <c r="H57" s="167"/>
      <c r="I57" s="167"/>
      <c r="J57" s="153" t="s">
        <v>310</v>
      </c>
      <c r="K57" s="167">
        <v>5</v>
      </c>
      <c r="L57" s="95">
        <f>VLOOKUP(K57,Reinigungstage!A10:B31,2,FALSE)</f>
        <v>215.33</v>
      </c>
      <c r="M57" s="95">
        <f t="shared" si="0"/>
        <v>1248.9100000000001</v>
      </c>
      <c r="N57" s="168">
        <f t="shared" si="1"/>
        <v>0</v>
      </c>
      <c r="O57" s="95">
        <f ca="1">IF('SVS UnterhaltsRG'!H61="",0,'SVS UnterhaltsRG'!H61)</f>
        <v>0</v>
      </c>
      <c r="P57" s="95">
        <f t="shared" si="2"/>
        <v>0</v>
      </c>
      <c r="Q57" s="95">
        <f t="shared" ca="1" si="3"/>
        <v>0</v>
      </c>
      <c r="R57" s="95">
        <f t="shared" si="4"/>
        <v>0</v>
      </c>
      <c r="S57" s="95">
        <f t="shared" ca="1" si="5"/>
        <v>0</v>
      </c>
      <c r="T57" s="3" t="str">
        <f t="shared" si="6"/>
        <v>Leistungswert eintragen</v>
      </c>
      <c r="U57" s="3">
        <f t="shared" si="7"/>
        <v>0</v>
      </c>
    </row>
  </sheetData>
  <sheetProtection algorithmName="SHA-512" hashValue="Lz62kh2Y4m6S9615B3SHMpt1InFqNVMKY2gnuz4CKQEzjZhGe51ywboiH0ZEul/G5V+mlsImY6jIiVUV08Z3eQ==" saltValue="bmRdtP0y1ruOaZqoGO3SSg==" spinCount="100000" sheet="1" objects="1" scenarios="1"/>
  <sortState xmlns:xlrd2="http://schemas.microsoft.com/office/spreadsheetml/2017/richdata2" ref="U4:U10">
    <sortCondition ref="U4"/>
  </sortState>
  <mergeCells count="16">
    <mergeCell ref="B13:E13"/>
    <mergeCell ref="B4:E5"/>
    <mergeCell ref="B6:E6"/>
    <mergeCell ref="B7:E7"/>
    <mergeCell ref="B8:E8"/>
    <mergeCell ref="B9:E9"/>
    <mergeCell ref="B10:E10"/>
    <mergeCell ref="B11:E11"/>
    <mergeCell ref="B12:E12"/>
    <mergeCell ref="N2:Q5"/>
    <mergeCell ref="A4:A5"/>
    <mergeCell ref="A2:E2"/>
    <mergeCell ref="G2:G3"/>
    <mergeCell ref="H2:H3"/>
    <mergeCell ref="I2:I3"/>
    <mergeCell ref="J2:J3"/>
  </mergeCells>
  <conditionalFormatting sqref="T22:T57">
    <cfRule type="containsText" dxfId="184" priority="1" stopIfTrue="1" operator="containsText" text="SVS prüfen">
      <formula>NOT(ISERROR(SEARCH("SVS prüfen",T22)))</formula>
    </cfRule>
    <cfRule type="containsText" dxfId="183" priority="2" stopIfTrue="1" operator="containsText" text="Leistungswert eintragen">
      <formula>NOT(ISERROR(SEARCH("Leistungswert eintragen",T22)))</formula>
    </cfRule>
  </conditionalFormatting>
  <hyperlinks>
    <hyperlink ref="M1" location="Inhaltsverzeichnis!A1" display="Zurück zum Inhaltsverzeichnis" xr:uid="{F39BBEA4-6F30-4C2D-B94C-C13046C0D98F}"/>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&amp;RKal Unter Bremmel TH&amp;LStadt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sizeWithCells="1">
                  <from>
                    <xdr:col>12</xdr:col>
                    <xdr:colOff>19050</xdr:colOff>
                    <xdr:row>1</xdr:row>
                    <xdr:rowOff>38100</xdr:rowOff>
                  </from>
                  <to>
                    <xdr:col>12</xdr:col>
                    <xdr:colOff>809625</xdr:colOff>
                    <xdr:row>2</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ltText="Hinweis 2">
                <anchor moveWithCells="1" sizeWithCells="1">
                  <from>
                    <xdr:col>12</xdr:col>
                    <xdr:colOff>19050</xdr:colOff>
                    <xdr:row>2</xdr:row>
                    <xdr:rowOff>19050</xdr:rowOff>
                  </from>
                  <to>
                    <xdr:col>12</xdr:col>
                    <xdr:colOff>809625</xdr:colOff>
                    <xdr:row>2</xdr:row>
                    <xdr:rowOff>266700</xdr:rowOff>
                  </to>
                </anchor>
              </controlPr>
            </control>
          </mc:Choice>
        </mc:AlternateContent>
        <mc:AlternateContent xmlns:mc="http://schemas.openxmlformats.org/markup-compatibility/2006">
          <mc:Choice Requires="x14">
            <control shapeId="89091" r:id="rId6" name="Check Box 3">
              <controlPr defaultSize="0" autoFill="0" autoLine="0" autoPict="0" altText="Hinweis 3">
                <anchor moveWithCells="1" sizeWithCells="1">
                  <from>
                    <xdr:col>12</xdr:col>
                    <xdr:colOff>19050</xdr:colOff>
                    <xdr:row>3</xdr:row>
                    <xdr:rowOff>9525</xdr:rowOff>
                  </from>
                  <to>
                    <xdr:col>12</xdr:col>
                    <xdr:colOff>809625</xdr:colOff>
                    <xdr:row>4</xdr:row>
                    <xdr:rowOff>57150</xdr:rowOff>
                  </to>
                </anchor>
              </controlPr>
            </control>
          </mc:Choice>
        </mc:AlternateContent>
        <mc:AlternateContent xmlns:mc="http://schemas.openxmlformats.org/markup-compatibility/2006">
          <mc:Choice Requires="x14">
            <control shapeId="89092" r:id="rId7" name="Check Box 4">
              <controlPr defaultSize="0" autoFill="0" autoLine="0" autoPict="0" altText="Hinweis 3">
                <anchor moveWithCells="1" sizeWithCells="1">
                  <from>
                    <xdr:col>12</xdr:col>
                    <xdr:colOff>19050</xdr:colOff>
                    <xdr:row>4</xdr:row>
                    <xdr:rowOff>66675</xdr:rowOff>
                  </from>
                  <to>
                    <xdr:col>12</xdr:col>
                    <xdr:colOff>809625</xdr:colOff>
                    <xdr:row>5</xdr:row>
                    <xdr:rowOff>123825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21CCA-D0C5-4995-AD2B-2738356FFC43}">
  <sheetPr codeName="Tabelle47">
    <tabColor indexed="40"/>
  </sheetPr>
  <dimension ref="A1:U49"/>
  <sheetViews>
    <sheetView showGridLines="0" zoomScaleNormal="100" workbookViewId="0">
      <pane ySplit="21" topLeftCell="A22" activePane="bottomLeft" state="frozen"/>
      <selection pane="bottomLeft"/>
    </sheetView>
  </sheetViews>
  <sheetFormatPr baseColWidth="10" defaultColWidth="0" defaultRowHeight="15" customHeight="1" x14ac:dyDescent="0.2"/>
  <cols>
    <col min="1" max="1" width="11.7109375" style="3" customWidth="1"/>
    <col min="2" max="2" width="7.7109375" style="3" customWidth="1"/>
    <col min="3" max="3" width="5.7109375" style="3" customWidth="1"/>
    <col min="4" max="4" width="8.28515625" style="3" customWidth="1"/>
    <col min="5" max="5" width="21.7109375" style="3" customWidth="1"/>
    <col min="6" max="6" width="13.5703125" style="3" bestFit="1" customWidth="1"/>
    <col min="7" max="7" width="10.7109375" style="3" customWidth="1"/>
    <col min="8" max="8" width="9.7109375" style="3" customWidth="1"/>
    <col min="9" max="9" width="11.7109375" style="3" customWidth="1"/>
    <col min="10" max="10" width="10.5703125" style="3" bestFit="1" customWidth="1"/>
    <col min="11" max="11" width="7.85546875" style="3" customWidth="1"/>
    <col min="12" max="12" width="8.7109375" style="3" customWidth="1"/>
    <col min="13" max="13" width="12.140625" style="3" customWidth="1"/>
    <col min="14" max="14" width="9.42578125" style="3" customWidth="1"/>
    <col min="15" max="15" width="8.42578125" style="3" customWidth="1"/>
    <col min="16" max="17" width="11.42578125" style="3" customWidth="1"/>
    <col min="18" max="19" width="11.28515625" style="3" customWidth="1"/>
    <col min="20" max="20" width="22.28515625" style="3" customWidth="1"/>
    <col min="21" max="21" width="0" style="3" hidden="1" customWidth="1"/>
    <col min="22" max="16384" width="11.42578125" style="3" hidden="1"/>
  </cols>
  <sheetData>
    <row r="1" spans="1:21" ht="15" customHeight="1" x14ac:dyDescent="0.2">
      <c r="M1" s="5" t="s">
        <v>100</v>
      </c>
    </row>
    <row r="2" spans="1:21" ht="21" customHeight="1" x14ac:dyDescent="0.2">
      <c r="A2" s="217" t="s">
        <v>177</v>
      </c>
      <c r="B2" s="218"/>
      <c r="C2" s="218"/>
      <c r="D2" s="218" t="b">
        <v>0</v>
      </c>
      <c r="E2" s="219"/>
      <c r="G2" s="220" t="s">
        <v>190</v>
      </c>
      <c r="H2" s="220" t="s">
        <v>182</v>
      </c>
      <c r="I2" s="220" t="s">
        <v>183</v>
      </c>
      <c r="J2" s="220" t="s">
        <v>202</v>
      </c>
      <c r="M2" s="23" t="b">
        <v>0</v>
      </c>
      <c r="N2" s="192" t="str">
        <f>IF(M2=TRUE,"Bitte tragen Sie Ihre Leistungswerte in die gelben Zellen direkt unter der Zelle Leistungswerte (m²/h) ein. Die Leistungswerte werden automatisch in die untere Kalkulation übernommen. Die linke Tabelle ist lediglich eine Ausfüllhilfe.",IF(M3=TRUE,"Wenn eine Jahresreinigungsfläche für eine Reinigungsgruppe mit 0 angegeben ist, brauchen Sie den Leistungswert nicht auszufüllen. Es schadet aber nichts, wenn Sie es trotzdem tun.",IF(M4=TRUE,"Sie können in der Kalkulationstabelle (unten) in jedem einzelnen Raum die Leistungswerte (gelbe Zellen) beliebig oft individuell anpassen. Mit dem individuellen Überschreiben wird die Verknüpfung zu den Leistungswerten in der obigen Tabelle aufgehoben.",IF( M5=TRUE,"Die rot markierten Informationen sind auch lediglich eine Unterstützung. Sie erscheinen, wenn gelbe Zellen in dieser Tabelle oder in den Stundenverrechnungssätzen (SVS) nicht ausgefüllt sind. Wenn keine rote Schrift mehr da ist, ist alles vollständig.",""))))</f>
        <v/>
      </c>
      <c r="O2" s="192"/>
      <c r="P2" s="192"/>
      <c r="Q2" s="192"/>
    </row>
    <row r="3" spans="1:21" ht="21" customHeight="1" x14ac:dyDescent="0.2">
      <c r="A3" s="154" t="s">
        <v>275</v>
      </c>
      <c r="B3" s="155"/>
      <c r="C3" s="155"/>
      <c r="D3" s="155"/>
      <c r="E3" s="156"/>
      <c r="G3" s="221"/>
      <c r="H3" s="221" t="b">
        <v>0</v>
      </c>
      <c r="I3" s="221"/>
      <c r="J3" s="221"/>
      <c r="M3" s="23" t="b">
        <v>0</v>
      </c>
      <c r="N3" s="192"/>
      <c r="O3" s="192"/>
      <c r="P3" s="192"/>
      <c r="Q3" s="192"/>
    </row>
    <row r="4" spans="1:21" ht="15" customHeight="1" x14ac:dyDescent="0.2">
      <c r="A4" s="215" t="s">
        <v>91</v>
      </c>
      <c r="B4" s="225" t="str">
        <f>IF(Inhaltsverzeichnis!C3="","",Inhaltsverzeichnis!C3)</f>
        <v/>
      </c>
      <c r="C4" s="226"/>
      <c r="D4" s="226"/>
      <c r="E4" s="227"/>
      <c r="G4" s="153" t="s">
        <v>315</v>
      </c>
      <c r="H4" s="157"/>
      <c r="I4" s="158">
        <f ca="1">SUMIF('Kal Unter Bed Bremmel TH'!J22:M49,$G$4,'Kal Unter Bed Bremmel TH'!M22:M49)</f>
        <v>4272</v>
      </c>
      <c r="J4" s="118">
        <f>COUNTIFS('Kal Unter Bed Bremmel TH'!J22:M49,$G$4)</f>
        <v>2</v>
      </c>
      <c r="M4" s="23" t="b">
        <v>0</v>
      </c>
      <c r="N4" s="192"/>
      <c r="O4" s="192"/>
      <c r="P4" s="192"/>
      <c r="Q4" s="192"/>
      <c r="U4" s="153" t="s">
        <v>315</v>
      </c>
    </row>
    <row r="5" spans="1:21" ht="15" customHeight="1" x14ac:dyDescent="0.2">
      <c r="A5" s="216"/>
      <c r="B5" s="228"/>
      <c r="C5" s="229"/>
      <c r="D5" s="229"/>
      <c r="E5" s="230"/>
      <c r="G5" s="153" t="s">
        <v>314</v>
      </c>
      <c r="H5" s="157"/>
      <c r="I5" s="158">
        <f ca="1">SUMIF('Kal Unter Bed Bremmel TH'!J22:M49,$G$5,'Kal Unter Bed Bremmel TH'!M22:M49)</f>
        <v>2179.75</v>
      </c>
      <c r="J5" s="118">
        <f>COUNTIFS('Kal Unter Bed Bremmel TH'!J22:M49,$G$5)</f>
        <v>14</v>
      </c>
      <c r="M5" s="23" t="b">
        <v>0</v>
      </c>
      <c r="N5" s="192"/>
      <c r="O5" s="192"/>
      <c r="P5" s="192"/>
      <c r="Q5" s="192"/>
      <c r="U5" s="153" t="s">
        <v>314</v>
      </c>
    </row>
    <row r="6" spans="1:21" ht="15" customHeight="1" x14ac:dyDescent="0.2">
      <c r="A6" s="159" t="s">
        <v>200</v>
      </c>
      <c r="B6" s="231" t="s">
        <v>245</v>
      </c>
      <c r="C6" s="232"/>
      <c r="D6" s="232"/>
      <c r="E6" s="233"/>
      <c r="G6" s="153" t="s">
        <v>311</v>
      </c>
      <c r="H6" s="157"/>
      <c r="I6" s="158">
        <f ca="1">SUMIF('Kal Unter Bed Bremmel TH'!J22:M49,$G$6,'Kal Unter Bed Bremmel TH'!M22:M49)</f>
        <v>24075</v>
      </c>
      <c r="J6" s="118">
        <f>COUNTIFS('Kal Unter Bed Bremmel TH'!J22:M49,$G$6)</f>
        <v>1</v>
      </c>
      <c r="U6" s="153" t="s">
        <v>311</v>
      </c>
    </row>
    <row r="7" spans="1:21" ht="15" customHeight="1" x14ac:dyDescent="0.2">
      <c r="A7" s="160" t="s">
        <v>198</v>
      </c>
      <c r="B7" s="234" t="s">
        <v>246</v>
      </c>
      <c r="C7" s="232"/>
      <c r="D7" s="232"/>
      <c r="E7" s="233"/>
      <c r="G7" s="153" t="s">
        <v>310</v>
      </c>
      <c r="H7" s="157"/>
      <c r="I7" s="158">
        <f ca="1">SUMIF('Kal Unter Bed Bremmel TH'!J22:M49,$G$7,'Kal Unter Bed Bremmel TH'!M22:M49)</f>
        <v>401.25</v>
      </c>
      <c r="J7" s="118">
        <f>COUNTIFS('Kal Unter Bed Bremmel TH'!J22:M49,$G$7)</f>
        <v>2</v>
      </c>
      <c r="U7" s="153" t="s">
        <v>312</v>
      </c>
    </row>
    <row r="8" spans="1:21" ht="15" customHeight="1" x14ac:dyDescent="0.2">
      <c r="A8" s="160" t="s">
        <v>199</v>
      </c>
      <c r="B8" s="231"/>
      <c r="C8" s="232"/>
      <c r="D8" s="232"/>
      <c r="E8" s="233"/>
      <c r="G8" s="153" t="s">
        <v>291</v>
      </c>
      <c r="H8" s="157"/>
      <c r="I8" s="158">
        <f ca="1">SUMIF('Kal Unter Bed Bremmel TH'!J22:M49,$G$8,'Kal Unter Bed Bremmel TH'!M22:M49)</f>
        <v>1781.25</v>
      </c>
      <c r="J8" s="118">
        <f>COUNTIFS('Kal Unter Bed Bremmel TH'!J22:M49,$G$8)</f>
        <v>6</v>
      </c>
      <c r="U8" s="153" t="s">
        <v>310</v>
      </c>
    </row>
    <row r="9" spans="1:21" ht="15" customHeight="1" x14ac:dyDescent="0.2">
      <c r="A9" s="159" t="s">
        <v>197</v>
      </c>
      <c r="B9" s="235" t="s">
        <v>244</v>
      </c>
      <c r="C9" s="232"/>
      <c r="D9" s="232"/>
      <c r="E9" s="233"/>
      <c r="G9" s="153" t="s">
        <v>313</v>
      </c>
      <c r="H9" s="157"/>
      <c r="I9" s="158">
        <f ca="1">SUMIF('Kal Unter Bed Bremmel TH'!J22:M49,$G$9,'Kal Unter Bed Bremmel TH'!M22:M49)</f>
        <v>2100.75</v>
      </c>
      <c r="J9" s="118">
        <f>COUNTIFS('Kal Unter Bed Bremmel TH'!J22:M49,$G$9)</f>
        <v>3</v>
      </c>
      <c r="U9" s="153" t="s">
        <v>291</v>
      </c>
    </row>
    <row r="10" spans="1:21" ht="15" customHeight="1" x14ac:dyDescent="0.2">
      <c r="A10" s="160" t="s">
        <v>179</v>
      </c>
      <c r="B10" s="231" t="s">
        <v>247</v>
      </c>
      <c r="C10" s="232"/>
      <c r="D10" s="232"/>
      <c r="E10" s="233"/>
      <c r="U10" s="153" t="s">
        <v>313</v>
      </c>
    </row>
    <row r="11" spans="1:21" ht="15" customHeight="1" x14ac:dyDescent="0.2">
      <c r="A11" s="160" t="s">
        <v>180</v>
      </c>
      <c r="B11" s="236" t="s">
        <v>248</v>
      </c>
      <c r="C11" s="232"/>
      <c r="D11" s="232"/>
      <c r="E11" s="233"/>
    </row>
    <row r="12" spans="1:21" ht="15" customHeight="1" x14ac:dyDescent="0.2">
      <c r="A12" s="160" t="s">
        <v>181</v>
      </c>
      <c r="B12" s="231" t="s">
        <v>249</v>
      </c>
      <c r="C12" s="232"/>
      <c r="D12" s="232"/>
      <c r="E12" s="233"/>
    </row>
    <row r="13" spans="1:21" ht="15" customHeight="1" x14ac:dyDescent="0.2">
      <c r="A13" s="160" t="s">
        <v>184</v>
      </c>
      <c r="B13" s="222" t="str">
        <f>HYPERLINK("http://maps.google.de/maps?hl=de&amp;bav=on.2,or.r_qf.&amp;bvm=bv.44770516,d.Yms&amp;biw=1395&amp;bih=916&amp;um=1&amp;ie=UTF-8&amp;q="&amp;B7&amp;"+"&amp;B8&amp;"+"&amp;B10&amp;"+"&amp;B11&amp;"+"&amp;B12&amp;"","In Google-Maps anzeigen (wenn Internet verfügbar)")</f>
        <v>In Google-Maps anzeigen (wenn Internet verfügbar)</v>
      </c>
      <c r="C13" s="223"/>
      <c r="D13" s="223"/>
      <c r="E13" s="224"/>
    </row>
    <row r="14" spans="1:21" ht="15" customHeight="1" x14ac:dyDescent="0.2">
      <c r="T14" s="161">
        <f>IF(COUNTA($T$22:$T$49)-COUNTBLANK($T$22:$T$49)=0,"",COUNTA($T$22:$T$49)-COUNTBLANK($T$22:$T$49))</f>
        <v>28</v>
      </c>
    </row>
    <row r="15" spans="1:21" ht="15" hidden="1" customHeight="1" x14ac:dyDescent="0.2"/>
    <row r="16" spans="1:21" ht="15" hidden="1" customHeight="1" x14ac:dyDescent="0.2"/>
    <row r="17" spans="1:21" ht="15" hidden="1" customHeight="1" x14ac:dyDescent="0.2"/>
    <row r="18" spans="1:21" ht="15" hidden="1" customHeight="1" x14ac:dyDescent="0.2"/>
    <row r="19" spans="1:21" ht="15" hidden="1" customHeight="1" x14ac:dyDescent="0.2"/>
    <row r="20" spans="1:21" ht="45" customHeight="1" x14ac:dyDescent="0.2">
      <c r="A20" s="1" t="s">
        <v>92</v>
      </c>
      <c r="B20" s="1" t="s">
        <v>97</v>
      </c>
      <c r="C20" s="1" t="s">
        <v>93</v>
      </c>
      <c r="D20" s="1" t="s">
        <v>94</v>
      </c>
      <c r="E20" s="1" t="s">
        <v>98</v>
      </c>
      <c r="F20" s="1" t="s">
        <v>95</v>
      </c>
      <c r="G20" s="1" t="s">
        <v>121</v>
      </c>
      <c r="H20" s="1" t="s">
        <v>108</v>
      </c>
      <c r="I20" s="1" t="s">
        <v>109</v>
      </c>
      <c r="J20" s="1" t="s">
        <v>99</v>
      </c>
      <c r="K20" s="1" t="s">
        <v>106</v>
      </c>
      <c r="L20" s="1" t="s">
        <v>141</v>
      </c>
      <c r="M20" s="1" t="s">
        <v>111</v>
      </c>
      <c r="N20" s="1" t="s">
        <v>107</v>
      </c>
      <c r="O20" s="1" t="s">
        <v>112</v>
      </c>
      <c r="P20" s="1" t="s">
        <v>113</v>
      </c>
      <c r="Q20" s="1" t="s">
        <v>114</v>
      </c>
      <c r="R20" s="1" t="s">
        <v>201</v>
      </c>
      <c r="S20" s="1" t="s">
        <v>140</v>
      </c>
    </row>
    <row r="21" spans="1:21" ht="29.1" customHeight="1" x14ac:dyDescent="0.2">
      <c r="A21" s="162" t="s">
        <v>125</v>
      </c>
      <c r="B21" s="14"/>
      <c r="C21" s="14"/>
      <c r="D21" s="14"/>
      <c r="E21" s="14"/>
      <c r="F21" s="14"/>
      <c r="G21" s="163">
        <f>SUM($G$22:$G$49)</f>
        <v>1392.3999999999996</v>
      </c>
      <c r="H21" s="163">
        <f>SUM($H$22:$H$49)</f>
        <v>0</v>
      </c>
      <c r="I21" s="163">
        <f>SUM($I$22:$I$49)</f>
        <v>0</v>
      </c>
      <c r="J21" s="95"/>
      <c r="K21" s="95"/>
      <c r="L21" s="164">
        <f>MAX(L22:L49)</f>
        <v>25</v>
      </c>
      <c r="M21" s="163">
        <f>SUM($M$22:$M$49)</f>
        <v>34810</v>
      </c>
      <c r="N21" s="95"/>
      <c r="O21" s="95"/>
      <c r="P21" s="163">
        <f>SUM($P$22:$P$49)</f>
        <v>0</v>
      </c>
      <c r="Q21" s="163">
        <f ca="1">SUM($Q$22:$Q$49)</f>
        <v>0</v>
      </c>
      <c r="R21" s="163">
        <f>ROUND(IF(L21=0,0,P21/L21),2)</f>
        <v>0</v>
      </c>
      <c r="S21" s="163">
        <f ca="1">ROUND(IF(L21=0,0,Q21/L21),2)</f>
        <v>0</v>
      </c>
    </row>
    <row r="22" spans="1:21" ht="15" customHeight="1" x14ac:dyDescent="0.2">
      <c r="A22" s="153">
        <v>1</v>
      </c>
      <c r="B22" s="165"/>
      <c r="C22" s="166" t="s">
        <v>276</v>
      </c>
      <c r="D22" s="166"/>
      <c r="E22" s="166" t="s">
        <v>277</v>
      </c>
      <c r="F22" s="166" t="s">
        <v>278</v>
      </c>
      <c r="G22" s="167">
        <v>963</v>
      </c>
      <c r="H22" s="167"/>
      <c r="I22" s="167"/>
      <c r="J22" s="153" t="s">
        <v>311</v>
      </c>
      <c r="K22" s="153" t="s">
        <v>171</v>
      </c>
      <c r="L22" s="95">
        <f>VLOOKUP(K22,Reinigungstage!A10:S31,19,FALSE)</f>
        <v>25</v>
      </c>
      <c r="M22" s="95">
        <f t="shared" ref="M22:M49" si="0">ROUND(IF(L22=0,0,L22*G22),2)</f>
        <v>24075</v>
      </c>
      <c r="N22" s="168">
        <f t="shared" ref="N22:N49" si="1">VLOOKUP(J22,$G$4:$H$9,2,FALSE)</f>
        <v>0</v>
      </c>
      <c r="O22" s="95">
        <f ca="1">IF('SVS UnterhaltsRG'!H61="",0,'SVS UnterhaltsRG'!H61)</f>
        <v>0</v>
      </c>
      <c r="P22" s="95">
        <f t="shared" ref="P22:P49" si="2">ROUND(IF(N22=0,0,M22/N22),2)</f>
        <v>0</v>
      </c>
      <c r="Q22" s="95">
        <f t="shared" ref="Q22:Q49" ca="1" si="3">IF(M22=0,0,IF(O22="",0,ROUND(P22*O22,2)))</f>
        <v>0</v>
      </c>
      <c r="R22" s="95">
        <f t="shared" ref="R22:R49" si="4">ROUND(IF(P22=0,0,P22/L22),2)</f>
        <v>0</v>
      </c>
      <c r="S22" s="95">
        <f t="shared" ref="S22:S49" ca="1" si="5">ROUND(IF(Q22=0,0,Q22/L22),2)</f>
        <v>0</v>
      </c>
      <c r="T22" s="3" t="str">
        <f t="shared" ref="T22:T49" si="6">IF(M22=0,"",IF(N22=0,"Leistungswert eintragen",IF(O22=0,"SVS prüfen","")))</f>
        <v>Leistungswert eintragen</v>
      </c>
      <c r="U22" s="3">
        <f t="shared" ref="U22:U49" si="7">VLOOKUP(J22,$U$4:$V$10,2,FALSE)</f>
        <v>0</v>
      </c>
    </row>
    <row r="23" spans="1:21" ht="15" customHeight="1" x14ac:dyDescent="0.2">
      <c r="A23" s="153">
        <v>2</v>
      </c>
      <c r="B23" s="165"/>
      <c r="C23" s="166" t="s">
        <v>276</v>
      </c>
      <c r="D23" s="166"/>
      <c r="E23" s="166" t="s">
        <v>283</v>
      </c>
      <c r="F23" s="166" t="s">
        <v>284</v>
      </c>
      <c r="G23" s="167">
        <v>11.75</v>
      </c>
      <c r="H23" s="167"/>
      <c r="I23" s="167"/>
      <c r="J23" s="153" t="s">
        <v>313</v>
      </c>
      <c r="K23" s="153" t="s">
        <v>171</v>
      </c>
      <c r="L23" s="95">
        <f>VLOOKUP(K23,Reinigungstage!A10:S31,19,FALSE)</f>
        <v>25</v>
      </c>
      <c r="M23" s="95">
        <f t="shared" si="0"/>
        <v>293.75</v>
      </c>
      <c r="N23" s="168">
        <f t="shared" si="1"/>
        <v>0</v>
      </c>
      <c r="O23" s="95">
        <f ca="1">IF('SVS UnterhaltsRG'!H61="",0,'SVS UnterhaltsRG'!H61)</f>
        <v>0</v>
      </c>
      <c r="P23" s="95">
        <f t="shared" si="2"/>
        <v>0</v>
      </c>
      <c r="Q23" s="95">
        <f t="shared" ca="1" si="3"/>
        <v>0</v>
      </c>
      <c r="R23" s="95">
        <f t="shared" si="4"/>
        <v>0</v>
      </c>
      <c r="S23" s="95">
        <f t="shared" ca="1" si="5"/>
        <v>0</v>
      </c>
      <c r="T23" s="3" t="str">
        <f t="shared" si="6"/>
        <v>Leistungswert eintragen</v>
      </c>
      <c r="U23" s="3">
        <f t="shared" si="7"/>
        <v>0</v>
      </c>
    </row>
    <row r="24" spans="1:21" ht="15" customHeight="1" x14ac:dyDescent="0.2">
      <c r="A24" s="153">
        <v>3</v>
      </c>
      <c r="B24" s="165"/>
      <c r="C24" s="166" t="s">
        <v>276</v>
      </c>
      <c r="D24" s="166"/>
      <c r="E24" s="166" t="s">
        <v>288</v>
      </c>
      <c r="F24" s="166" t="s">
        <v>287</v>
      </c>
      <c r="G24" s="167">
        <v>40.520000000000003</v>
      </c>
      <c r="H24" s="167"/>
      <c r="I24" s="167"/>
      <c r="J24" s="153" t="s">
        <v>313</v>
      </c>
      <c r="K24" s="153" t="s">
        <v>171</v>
      </c>
      <c r="L24" s="95">
        <f>VLOOKUP(K24,Reinigungstage!A10:S31,19,FALSE)</f>
        <v>25</v>
      </c>
      <c r="M24" s="95">
        <f t="shared" si="0"/>
        <v>1013</v>
      </c>
      <c r="N24" s="168">
        <f t="shared" si="1"/>
        <v>0</v>
      </c>
      <c r="O24" s="95">
        <f ca="1">IF('SVS UnterhaltsRG'!H61="",0,'SVS UnterhaltsRG'!H61)</f>
        <v>0</v>
      </c>
      <c r="P24" s="95">
        <f t="shared" si="2"/>
        <v>0</v>
      </c>
      <c r="Q24" s="95">
        <f t="shared" ca="1" si="3"/>
        <v>0</v>
      </c>
      <c r="R24" s="95">
        <f t="shared" si="4"/>
        <v>0</v>
      </c>
      <c r="S24" s="95">
        <f t="shared" ca="1" si="5"/>
        <v>0</v>
      </c>
      <c r="T24" s="3" t="str">
        <f t="shared" si="6"/>
        <v>Leistungswert eintragen</v>
      </c>
      <c r="U24" s="3">
        <f t="shared" si="7"/>
        <v>0</v>
      </c>
    </row>
    <row r="25" spans="1:21" ht="15" customHeight="1" x14ac:dyDescent="0.2">
      <c r="A25" s="153">
        <v>4</v>
      </c>
      <c r="B25" s="165" t="s">
        <v>289</v>
      </c>
      <c r="C25" s="166" t="s">
        <v>276</v>
      </c>
      <c r="D25" s="166" t="s">
        <v>290</v>
      </c>
      <c r="E25" s="166" t="s">
        <v>291</v>
      </c>
      <c r="F25" s="166" t="s">
        <v>287</v>
      </c>
      <c r="G25" s="167">
        <v>14.46</v>
      </c>
      <c r="H25" s="167"/>
      <c r="I25" s="167"/>
      <c r="J25" s="153" t="s">
        <v>291</v>
      </c>
      <c r="K25" s="153" t="s">
        <v>171</v>
      </c>
      <c r="L25" s="95">
        <f>VLOOKUP(K25,Reinigungstage!A10:S31,19,FALSE)</f>
        <v>25</v>
      </c>
      <c r="M25" s="95">
        <f t="shared" si="0"/>
        <v>361.5</v>
      </c>
      <c r="N25" s="168">
        <f t="shared" si="1"/>
        <v>0</v>
      </c>
      <c r="O25" s="95">
        <f ca="1">IF('SVS UnterhaltsRG'!H61="",0,'SVS UnterhaltsRG'!H61)</f>
        <v>0</v>
      </c>
      <c r="P25" s="95">
        <f t="shared" si="2"/>
        <v>0</v>
      </c>
      <c r="Q25" s="95">
        <f t="shared" ca="1" si="3"/>
        <v>0</v>
      </c>
      <c r="R25" s="95">
        <f t="shared" si="4"/>
        <v>0</v>
      </c>
      <c r="S25" s="95">
        <f t="shared" ca="1" si="5"/>
        <v>0</v>
      </c>
      <c r="T25" s="3" t="str">
        <f t="shared" si="6"/>
        <v>Leistungswert eintragen</v>
      </c>
      <c r="U25" s="3">
        <f t="shared" si="7"/>
        <v>0</v>
      </c>
    </row>
    <row r="26" spans="1:21" ht="15" customHeight="1" x14ac:dyDescent="0.2">
      <c r="A26" s="153">
        <v>5</v>
      </c>
      <c r="B26" s="165"/>
      <c r="C26" s="166" t="s">
        <v>276</v>
      </c>
      <c r="D26" s="166" t="s">
        <v>290</v>
      </c>
      <c r="E26" s="166" t="s">
        <v>292</v>
      </c>
      <c r="F26" s="166" t="s">
        <v>293</v>
      </c>
      <c r="G26" s="167">
        <v>5.4</v>
      </c>
      <c r="H26" s="167"/>
      <c r="I26" s="167"/>
      <c r="J26" s="153" t="s">
        <v>314</v>
      </c>
      <c r="K26" s="153" t="s">
        <v>171</v>
      </c>
      <c r="L26" s="95">
        <f>VLOOKUP(K26,Reinigungstage!A10:S31,19,FALSE)</f>
        <v>25</v>
      </c>
      <c r="M26" s="95">
        <f t="shared" si="0"/>
        <v>135</v>
      </c>
      <c r="N26" s="168">
        <f t="shared" si="1"/>
        <v>0</v>
      </c>
      <c r="O26" s="95">
        <f ca="1">IF('SVS UnterhaltsRG'!H61="",0,'SVS UnterhaltsRG'!H61)</f>
        <v>0</v>
      </c>
      <c r="P26" s="95">
        <f t="shared" si="2"/>
        <v>0</v>
      </c>
      <c r="Q26" s="95">
        <f t="shared" ca="1" si="3"/>
        <v>0</v>
      </c>
      <c r="R26" s="95">
        <f t="shared" si="4"/>
        <v>0</v>
      </c>
      <c r="S26" s="95">
        <f t="shared" ca="1" si="5"/>
        <v>0</v>
      </c>
      <c r="T26" s="3" t="str">
        <f t="shared" si="6"/>
        <v>Leistungswert eintragen</v>
      </c>
      <c r="U26" s="3">
        <f t="shared" si="7"/>
        <v>0</v>
      </c>
    </row>
    <row r="27" spans="1:21" ht="15" customHeight="1" x14ac:dyDescent="0.2">
      <c r="A27" s="153">
        <v>6</v>
      </c>
      <c r="B27" s="165"/>
      <c r="C27" s="166" t="s">
        <v>276</v>
      </c>
      <c r="D27" s="166" t="s">
        <v>290</v>
      </c>
      <c r="E27" s="166" t="s">
        <v>294</v>
      </c>
      <c r="F27" s="166" t="s">
        <v>293</v>
      </c>
      <c r="G27" s="167">
        <v>18.989999999999998</v>
      </c>
      <c r="H27" s="167"/>
      <c r="I27" s="167"/>
      <c r="J27" s="153" t="s">
        <v>314</v>
      </c>
      <c r="K27" s="153" t="s">
        <v>171</v>
      </c>
      <c r="L27" s="95">
        <f>VLOOKUP(K27,Reinigungstage!A10:S31,19,FALSE)</f>
        <v>25</v>
      </c>
      <c r="M27" s="95">
        <f t="shared" si="0"/>
        <v>474.75</v>
      </c>
      <c r="N27" s="168">
        <f t="shared" si="1"/>
        <v>0</v>
      </c>
      <c r="O27" s="95">
        <f ca="1">IF('SVS UnterhaltsRG'!H61="",0,'SVS UnterhaltsRG'!H61)</f>
        <v>0</v>
      </c>
      <c r="P27" s="95">
        <f t="shared" si="2"/>
        <v>0</v>
      </c>
      <c r="Q27" s="95">
        <f t="shared" ca="1" si="3"/>
        <v>0</v>
      </c>
      <c r="R27" s="95">
        <f t="shared" si="4"/>
        <v>0</v>
      </c>
      <c r="S27" s="95">
        <f t="shared" ca="1" si="5"/>
        <v>0</v>
      </c>
      <c r="T27" s="3" t="str">
        <f t="shared" si="6"/>
        <v>Leistungswert eintragen</v>
      </c>
      <c r="U27" s="3">
        <f t="shared" si="7"/>
        <v>0</v>
      </c>
    </row>
    <row r="28" spans="1:21" ht="15" customHeight="1" x14ac:dyDescent="0.2">
      <c r="A28" s="153">
        <v>7</v>
      </c>
      <c r="B28" s="165"/>
      <c r="C28" s="166" t="s">
        <v>276</v>
      </c>
      <c r="D28" s="166" t="s">
        <v>290</v>
      </c>
      <c r="E28" s="166" t="s">
        <v>295</v>
      </c>
      <c r="F28" s="166" t="s">
        <v>293</v>
      </c>
      <c r="G28" s="167">
        <v>1.83</v>
      </c>
      <c r="H28" s="167"/>
      <c r="I28" s="167"/>
      <c r="J28" s="153" t="s">
        <v>314</v>
      </c>
      <c r="K28" s="153" t="s">
        <v>171</v>
      </c>
      <c r="L28" s="95">
        <f>VLOOKUP(K28,Reinigungstage!A10:S31,19,FALSE)</f>
        <v>25</v>
      </c>
      <c r="M28" s="95">
        <f t="shared" si="0"/>
        <v>45.75</v>
      </c>
      <c r="N28" s="168">
        <f t="shared" si="1"/>
        <v>0</v>
      </c>
      <c r="O28" s="95">
        <f ca="1">IF('SVS UnterhaltsRG'!H61="",0,'SVS UnterhaltsRG'!H61)</f>
        <v>0</v>
      </c>
      <c r="P28" s="95">
        <f t="shared" si="2"/>
        <v>0</v>
      </c>
      <c r="Q28" s="95">
        <f t="shared" ca="1" si="3"/>
        <v>0</v>
      </c>
      <c r="R28" s="95">
        <f t="shared" si="4"/>
        <v>0</v>
      </c>
      <c r="S28" s="95">
        <f t="shared" ca="1" si="5"/>
        <v>0</v>
      </c>
      <c r="T28" s="3" t="str">
        <f t="shared" si="6"/>
        <v>Leistungswert eintragen</v>
      </c>
      <c r="U28" s="3">
        <f t="shared" si="7"/>
        <v>0</v>
      </c>
    </row>
    <row r="29" spans="1:21" ht="15" customHeight="1" x14ac:dyDescent="0.2">
      <c r="A29" s="153">
        <v>8</v>
      </c>
      <c r="B29" s="165"/>
      <c r="C29" s="166" t="s">
        <v>276</v>
      </c>
      <c r="D29" s="166" t="s">
        <v>290</v>
      </c>
      <c r="E29" s="166" t="s">
        <v>296</v>
      </c>
      <c r="F29" s="166" t="s">
        <v>293</v>
      </c>
      <c r="G29" s="167">
        <v>3.85</v>
      </c>
      <c r="H29" s="167"/>
      <c r="I29" s="167"/>
      <c r="J29" s="153" t="s">
        <v>314</v>
      </c>
      <c r="K29" s="153" t="s">
        <v>171</v>
      </c>
      <c r="L29" s="95">
        <f>VLOOKUP(K29,Reinigungstage!A10:S31,19,FALSE)</f>
        <v>25</v>
      </c>
      <c r="M29" s="95">
        <f t="shared" si="0"/>
        <v>96.25</v>
      </c>
      <c r="N29" s="168">
        <f t="shared" si="1"/>
        <v>0</v>
      </c>
      <c r="O29" s="95">
        <f ca="1">IF('SVS UnterhaltsRG'!H61="",0,'SVS UnterhaltsRG'!H61)</f>
        <v>0</v>
      </c>
      <c r="P29" s="95">
        <f t="shared" si="2"/>
        <v>0</v>
      </c>
      <c r="Q29" s="95">
        <f t="shared" ca="1" si="3"/>
        <v>0</v>
      </c>
      <c r="R29" s="95">
        <f t="shared" si="4"/>
        <v>0</v>
      </c>
      <c r="S29" s="95">
        <f t="shared" ca="1" si="5"/>
        <v>0</v>
      </c>
      <c r="T29" s="3" t="str">
        <f t="shared" si="6"/>
        <v>Leistungswert eintragen</v>
      </c>
      <c r="U29" s="3">
        <f t="shared" si="7"/>
        <v>0</v>
      </c>
    </row>
    <row r="30" spans="1:21" ht="15" customHeight="1" x14ac:dyDescent="0.2">
      <c r="A30" s="153">
        <v>9</v>
      </c>
      <c r="B30" s="165"/>
      <c r="C30" s="166" t="s">
        <v>276</v>
      </c>
      <c r="D30" s="166" t="s">
        <v>290</v>
      </c>
      <c r="E30" s="166" t="s">
        <v>292</v>
      </c>
      <c r="F30" s="166" t="s">
        <v>293</v>
      </c>
      <c r="G30" s="167">
        <v>5.41</v>
      </c>
      <c r="H30" s="167"/>
      <c r="I30" s="167"/>
      <c r="J30" s="153" t="s">
        <v>314</v>
      </c>
      <c r="K30" s="153" t="s">
        <v>171</v>
      </c>
      <c r="L30" s="95">
        <f>VLOOKUP(K30,Reinigungstage!A10:S31,19,FALSE)</f>
        <v>25</v>
      </c>
      <c r="M30" s="95">
        <f t="shared" si="0"/>
        <v>135.25</v>
      </c>
      <c r="N30" s="168">
        <f t="shared" si="1"/>
        <v>0</v>
      </c>
      <c r="O30" s="95">
        <f ca="1">IF('SVS UnterhaltsRG'!H61="",0,'SVS UnterhaltsRG'!H61)</f>
        <v>0</v>
      </c>
      <c r="P30" s="95">
        <f t="shared" si="2"/>
        <v>0</v>
      </c>
      <c r="Q30" s="95">
        <f t="shared" ca="1" si="3"/>
        <v>0</v>
      </c>
      <c r="R30" s="95">
        <f t="shared" si="4"/>
        <v>0</v>
      </c>
      <c r="S30" s="95">
        <f t="shared" ca="1" si="5"/>
        <v>0</v>
      </c>
      <c r="T30" s="3" t="str">
        <f t="shared" si="6"/>
        <v>Leistungswert eintragen</v>
      </c>
      <c r="U30" s="3">
        <f t="shared" si="7"/>
        <v>0</v>
      </c>
    </row>
    <row r="31" spans="1:21" ht="15" customHeight="1" x14ac:dyDescent="0.2">
      <c r="A31" s="153">
        <v>10</v>
      </c>
      <c r="B31" s="165" t="s">
        <v>297</v>
      </c>
      <c r="C31" s="166" t="s">
        <v>276</v>
      </c>
      <c r="D31" s="166" t="s">
        <v>290</v>
      </c>
      <c r="E31" s="166" t="s">
        <v>291</v>
      </c>
      <c r="F31" s="166" t="s">
        <v>287</v>
      </c>
      <c r="G31" s="167">
        <v>14.58</v>
      </c>
      <c r="H31" s="167"/>
      <c r="I31" s="167"/>
      <c r="J31" s="153" t="s">
        <v>291</v>
      </c>
      <c r="K31" s="153" t="s">
        <v>171</v>
      </c>
      <c r="L31" s="95">
        <f>VLOOKUP(K31,Reinigungstage!A10:S31,19,FALSE)</f>
        <v>25</v>
      </c>
      <c r="M31" s="95">
        <f t="shared" si="0"/>
        <v>364.5</v>
      </c>
      <c r="N31" s="168">
        <f t="shared" si="1"/>
        <v>0</v>
      </c>
      <c r="O31" s="95">
        <f ca="1">IF('SVS UnterhaltsRG'!H61="",0,'SVS UnterhaltsRG'!H61)</f>
        <v>0</v>
      </c>
      <c r="P31" s="95">
        <f t="shared" si="2"/>
        <v>0</v>
      </c>
      <c r="Q31" s="95">
        <f t="shared" ca="1" si="3"/>
        <v>0</v>
      </c>
      <c r="R31" s="95">
        <f t="shared" si="4"/>
        <v>0</v>
      </c>
      <c r="S31" s="95">
        <f t="shared" ca="1" si="5"/>
        <v>0</v>
      </c>
      <c r="T31" s="3" t="str">
        <f t="shared" si="6"/>
        <v>Leistungswert eintragen</v>
      </c>
      <c r="U31" s="3">
        <f t="shared" si="7"/>
        <v>0</v>
      </c>
    </row>
    <row r="32" spans="1:21" ht="15" customHeight="1" x14ac:dyDescent="0.2">
      <c r="A32" s="153">
        <v>11</v>
      </c>
      <c r="B32" s="165"/>
      <c r="C32" s="166" t="s">
        <v>276</v>
      </c>
      <c r="D32" s="166" t="s">
        <v>290</v>
      </c>
      <c r="E32" s="166" t="s">
        <v>298</v>
      </c>
      <c r="F32" s="166" t="s">
        <v>287</v>
      </c>
      <c r="G32" s="167">
        <v>6.55</v>
      </c>
      <c r="H32" s="167"/>
      <c r="I32" s="167"/>
      <c r="J32" s="153" t="s">
        <v>291</v>
      </c>
      <c r="K32" s="153" t="s">
        <v>171</v>
      </c>
      <c r="L32" s="95">
        <f>VLOOKUP(K32,Reinigungstage!A10:S31,19,FALSE)</f>
        <v>25</v>
      </c>
      <c r="M32" s="95">
        <f t="shared" si="0"/>
        <v>163.75</v>
      </c>
      <c r="N32" s="168">
        <f t="shared" si="1"/>
        <v>0</v>
      </c>
      <c r="O32" s="95">
        <f ca="1">IF('SVS UnterhaltsRG'!H61="",0,'SVS UnterhaltsRG'!H61)</f>
        <v>0</v>
      </c>
      <c r="P32" s="95">
        <f t="shared" si="2"/>
        <v>0</v>
      </c>
      <c r="Q32" s="95">
        <f t="shared" ca="1" si="3"/>
        <v>0</v>
      </c>
      <c r="R32" s="95">
        <f t="shared" si="4"/>
        <v>0</v>
      </c>
      <c r="S32" s="95">
        <f t="shared" ca="1" si="5"/>
        <v>0</v>
      </c>
      <c r="T32" s="3" t="str">
        <f t="shared" si="6"/>
        <v>Leistungswert eintragen</v>
      </c>
      <c r="U32" s="3">
        <f t="shared" si="7"/>
        <v>0</v>
      </c>
    </row>
    <row r="33" spans="1:21" ht="15" customHeight="1" x14ac:dyDescent="0.2">
      <c r="A33" s="153">
        <v>12</v>
      </c>
      <c r="B33" s="165"/>
      <c r="C33" s="166" t="s">
        <v>276</v>
      </c>
      <c r="D33" s="166" t="s">
        <v>290</v>
      </c>
      <c r="E33" s="166" t="s">
        <v>299</v>
      </c>
      <c r="F33" s="166" t="s">
        <v>293</v>
      </c>
      <c r="G33" s="167">
        <v>3.69</v>
      </c>
      <c r="H33" s="167"/>
      <c r="I33" s="167"/>
      <c r="J33" s="153" t="s">
        <v>314</v>
      </c>
      <c r="K33" s="153" t="s">
        <v>171</v>
      </c>
      <c r="L33" s="95">
        <f>VLOOKUP(K33,Reinigungstage!A10:S31,19,FALSE)</f>
        <v>25</v>
      </c>
      <c r="M33" s="95">
        <f t="shared" si="0"/>
        <v>92.25</v>
      </c>
      <c r="N33" s="168">
        <f t="shared" si="1"/>
        <v>0</v>
      </c>
      <c r="O33" s="95">
        <f ca="1">IF('SVS UnterhaltsRG'!H61="",0,'SVS UnterhaltsRG'!H61)</f>
        <v>0</v>
      </c>
      <c r="P33" s="95">
        <f t="shared" si="2"/>
        <v>0</v>
      </c>
      <c r="Q33" s="95">
        <f t="shared" ca="1" si="3"/>
        <v>0</v>
      </c>
      <c r="R33" s="95">
        <f t="shared" si="4"/>
        <v>0</v>
      </c>
      <c r="S33" s="95">
        <f t="shared" ca="1" si="5"/>
        <v>0</v>
      </c>
      <c r="T33" s="3" t="str">
        <f t="shared" si="6"/>
        <v>Leistungswert eintragen</v>
      </c>
      <c r="U33" s="3">
        <f t="shared" si="7"/>
        <v>0</v>
      </c>
    </row>
    <row r="34" spans="1:21" ht="15" customHeight="1" x14ac:dyDescent="0.2">
      <c r="A34" s="153">
        <v>13</v>
      </c>
      <c r="B34" s="165"/>
      <c r="C34" s="166" t="s">
        <v>276</v>
      </c>
      <c r="D34" s="166" t="s">
        <v>290</v>
      </c>
      <c r="E34" s="166" t="s">
        <v>296</v>
      </c>
      <c r="F34" s="166" t="s">
        <v>293</v>
      </c>
      <c r="G34" s="167">
        <v>4.99</v>
      </c>
      <c r="H34" s="167"/>
      <c r="I34" s="167"/>
      <c r="J34" s="153" t="s">
        <v>314</v>
      </c>
      <c r="K34" s="153" t="s">
        <v>171</v>
      </c>
      <c r="L34" s="95">
        <f>VLOOKUP(K34,Reinigungstage!A10:S31,19,FALSE)</f>
        <v>25</v>
      </c>
      <c r="M34" s="95">
        <f t="shared" si="0"/>
        <v>124.75</v>
      </c>
      <c r="N34" s="168">
        <f t="shared" si="1"/>
        <v>0</v>
      </c>
      <c r="O34" s="95">
        <f ca="1">IF('SVS UnterhaltsRG'!H61="",0,'SVS UnterhaltsRG'!H61)</f>
        <v>0</v>
      </c>
      <c r="P34" s="95">
        <f t="shared" si="2"/>
        <v>0</v>
      </c>
      <c r="Q34" s="95">
        <f t="shared" ca="1" si="3"/>
        <v>0</v>
      </c>
      <c r="R34" s="95">
        <f t="shared" si="4"/>
        <v>0</v>
      </c>
      <c r="S34" s="95">
        <f t="shared" ca="1" si="5"/>
        <v>0</v>
      </c>
      <c r="T34" s="3" t="str">
        <f t="shared" si="6"/>
        <v>Leistungswert eintragen</v>
      </c>
      <c r="U34" s="3">
        <f t="shared" si="7"/>
        <v>0</v>
      </c>
    </row>
    <row r="35" spans="1:21" ht="15" customHeight="1" x14ac:dyDescent="0.2">
      <c r="A35" s="153">
        <v>14</v>
      </c>
      <c r="B35" s="165"/>
      <c r="C35" s="166" t="s">
        <v>276</v>
      </c>
      <c r="D35" s="166"/>
      <c r="E35" s="166" t="s">
        <v>300</v>
      </c>
      <c r="F35" s="166" t="s">
        <v>287</v>
      </c>
      <c r="G35" s="167">
        <v>13.2</v>
      </c>
      <c r="H35" s="167"/>
      <c r="I35" s="167"/>
      <c r="J35" s="153" t="s">
        <v>315</v>
      </c>
      <c r="K35" s="153" t="s">
        <v>171</v>
      </c>
      <c r="L35" s="95">
        <f>VLOOKUP(K35,Reinigungstage!A10:S31,19,FALSE)</f>
        <v>25</v>
      </c>
      <c r="M35" s="95">
        <f t="shared" si="0"/>
        <v>330</v>
      </c>
      <c r="N35" s="168">
        <f t="shared" si="1"/>
        <v>0</v>
      </c>
      <c r="O35" s="95">
        <f ca="1">IF('SVS UnterhaltsRG'!H61="",0,'SVS UnterhaltsRG'!H61)</f>
        <v>0</v>
      </c>
      <c r="P35" s="95">
        <f t="shared" si="2"/>
        <v>0</v>
      </c>
      <c r="Q35" s="95">
        <f t="shared" ca="1" si="3"/>
        <v>0</v>
      </c>
      <c r="R35" s="95">
        <f t="shared" si="4"/>
        <v>0</v>
      </c>
      <c r="S35" s="95">
        <f t="shared" ca="1" si="5"/>
        <v>0</v>
      </c>
      <c r="T35" s="3" t="str">
        <f t="shared" si="6"/>
        <v>Leistungswert eintragen</v>
      </c>
      <c r="U35" s="3">
        <f t="shared" si="7"/>
        <v>0</v>
      </c>
    </row>
    <row r="36" spans="1:21" ht="15" customHeight="1" x14ac:dyDescent="0.2">
      <c r="A36" s="153">
        <v>15</v>
      </c>
      <c r="B36" s="165"/>
      <c r="C36" s="166" t="s">
        <v>276</v>
      </c>
      <c r="D36" s="166" t="s">
        <v>301</v>
      </c>
      <c r="E36" s="166" t="s">
        <v>288</v>
      </c>
      <c r="F36" s="166" t="s">
        <v>287</v>
      </c>
      <c r="G36" s="167">
        <v>31.76</v>
      </c>
      <c r="H36" s="167"/>
      <c r="I36" s="167"/>
      <c r="J36" s="153" t="s">
        <v>313</v>
      </c>
      <c r="K36" s="153" t="s">
        <v>171</v>
      </c>
      <c r="L36" s="95">
        <f>VLOOKUP(K36,Reinigungstage!A10:S31,19,FALSE)</f>
        <v>25</v>
      </c>
      <c r="M36" s="95">
        <f t="shared" si="0"/>
        <v>794</v>
      </c>
      <c r="N36" s="168">
        <f t="shared" si="1"/>
        <v>0</v>
      </c>
      <c r="O36" s="95">
        <f ca="1">IF('SVS UnterhaltsRG'!H61="",0,'SVS UnterhaltsRG'!H61)</f>
        <v>0</v>
      </c>
      <c r="P36" s="95">
        <f t="shared" si="2"/>
        <v>0</v>
      </c>
      <c r="Q36" s="95">
        <f t="shared" ca="1" si="3"/>
        <v>0</v>
      </c>
      <c r="R36" s="95">
        <f t="shared" si="4"/>
        <v>0</v>
      </c>
      <c r="S36" s="95">
        <f t="shared" ca="1" si="5"/>
        <v>0</v>
      </c>
      <c r="T36" s="3" t="str">
        <f t="shared" si="6"/>
        <v>Leistungswert eintragen</v>
      </c>
      <c r="U36" s="3">
        <f t="shared" si="7"/>
        <v>0</v>
      </c>
    </row>
    <row r="37" spans="1:21" ht="15" customHeight="1" x14ac:dyDescent="0.2">
      <c r="A37" s="153">
        <v>16</v>
      </c>
      <c r="B37" s="165"/>
      <c r="C37" s="166" t="s">
        <v>276</v>
      </c>
      <c r="D37" s="166" t="s">
        <v>301</v>
      </c>
      <c r="E37" s="166" t="s">
        <v>298</v>
      </c>
      <c r="F37" s="166" t="s">
        <v>287</v>
      </c>
      <c r="G37" s="167">
        <v>6.57</v>
      </c>
      <c r="H37" s="167"/>
      <c r="I37" s="167"/>
      <c r="J37" s="153" t="s">
        <v>291</v>
      </c>
      <c r="K37" s="153" t="s">
        <v>171</v>
      </c>
      <c r="L37" s="95">
        <f>VLOOKUP(K37,Reinigungstage!A10:S31,19,FALSE)</f>
        <v>25</v>
      </c>
      <c r="M37" s="95">
        <f t="shared" si="0"/>
        <v>164.25</v>
      </c>
      <c r="N37" s="168">
        <f t="shared" si="1"/>
        <v>0</v>
      </c>
      <c r="O37" s="95">
        <f ca="1">IF('SVS UnterhaltsRG'!H61="",0,'SVS UnterhaltsRG'!H61)</f>
        <v>0</v>
      </c>
      <c r="P37" s="95">
        <f t="shared" si="2"/>
        <v>0</v>
      </c>
      <c r="Q37" s="95">
        <f t="shared" ca="1" si="3"/>
        <v>0</v>
      </c>
      <c r="R37" s="95">
        <f t="shared" si="4"/>
        <v>0</v>
      </c>
      <c r="S37" s="95">
        <f t="shared" ca="1" si="5"/>
        <v>0</v>
      </c>
      <c r="T37" s="3" t="str">
        <f t="shared" si="6"/>
        <v>Leistungswert eintragen</v>
      </c>
      <c r="U37" s="3">
        <f t="shared" si="7"/>
        <v>0</v>
      </c>
    </row>
    <row r="38" spans="1:21" ht="15" customHeight="1" x14ac:dyDescent="0.2">
      <c r="A38" s="153">
        <v>17</v>
      </c>
      <c r="B38" s="165"/>
      <c r="C38" s="166" t="s">
        <v>276</v>
      </c>
      <c r="D38" s="166" t="s">
        <v>301</v>
      </c>
      <c r="E38" s="166" t="s">
        <v>299</v>
      </c>
      <c r="F38" s="166" t="s">
        <v>293</v>
      </c>
      <c r="G38" s="167">
        <v>4.0999999999999996</v>
      </c>
      <c r="H38" s="167"/>
      <c r="I38" s="167"/>
      <c r="J38" s="153" t="s">
        <v>314</v>
      </c>
      <c r="K38" s="153" t="s">
        <v>171</v>
      </c>
      <c r="L38" s="95">
        <f>VLOOKUP(K38,Reinigungstage!A10:S31,19,FALSE)</f>
        <v>25</v>
      </c>
      <c r="M38" s="95">
        <f t="shared" si="0"/>
        <v>102.5</v>
      </c>
      <c r="N38" s="168">
        <f t="shared" si="1"/>
        <v>0</v>
      </c>
      <c r="O38" s="95">
        <f ca="1">IF('SVS UnterhaltsRG'!H61="",0,'SVS UnterhaltsRG'!H61)</f>
        <v>0</v>
      </c>
      <c r="P38" s="95">
        <f t="shared" si="2"/>
        <v>0</v>
      </c>
      <c r="Q38" s="95">
        <f t="shared" ca="1" si="3"/>
        <v>0</v>
      </c>
      <c r="R38" s="95">
        <f t="shared" si="4"/>
        <v>0</v>
      </c>
      <c r="S38" s="95">
        <f t="shared" ca="1" si="5"/>
        <v>0</v>
      </c>
      <c r="T38" s="3" t="str">
        <f t="shared" si="6"/>
        <v>Leistungswert eintragen</v>
      </c>
      <c r="U38" s="3">
        <f t="shared" si="7"/>
        <v>0</v>
      </c>
    </row>
    <row r="39" spans="1:21" ht="15" customHeight="1" x14ac:dyDescent="0.2">
      <c r="A39" s="153">
        <v>18</v>
      </c>
      <c r="B39" s="165" t="s">
        <v>289</v>
      </c>
      <c r="C39" s="166" t="s">
        <v>276</v>
      </c>
      <c r="D39" s="166" t="s">
        <v>301</v>
      </c>
      <c r="E39" s="166" t="s">
        <v>291</v>
      </c>
      <c r="F39" s="166" t="s">
        <v>287</v>
      </c>
      <c r="G39" s="167">
        <v>14.53</v>
      </c>
      <c r="H39" s="167"/>
      <c r="I39" s="167"/>
      <c r="J39" s="153" t="s">
        <v>291</v>
      </c>
      <c r="K39" s="153" t="s">
        <v>171</v>
      </c>
      <c r="L39" s="95">
        <f>VLOOKUP(K39,Reinigungstage!A10:S31,19,FALSE)</f>
        <v>25</v>
      </c>
      <c r="M39" s="95">
        <f t="shared" si="0"/>
        <v>363.25</v>
      </c>
      <c r="N39" s="168">
        <f t="shared" si="1"/>
        <v>0</v>
      </c>
      <c r="O39" s="95">
        <f ca="1">IF('SVS UnterhaltsRG'!H61="",0,'SVS UnterhaltsRG'!H61)</f>
        <v>0</v>
      </c>
      <c r="P39" s="95">
        <f t="shared" si="2"/>
        <v>0</v>
      </c>
      <c r="Q39" s="95">
        <f t="shared" ca="1" si="3"/>
        <v>0</v>
      </c>
      <c r="R39" s="95">
        <f t="shared" si="4"/>
        <v>0</v>
      </c>
      <c r="S39" s="95">
        <f t="shared" ca="1" si="5"/>
        <v>0</v>
      </c>
      <c r="T39" s="3" t="str">
        <f t="shared" si="6"/>
        <v>Leistungswert eintragen</v>
      </c>
      <c r="U39" s="3">
        <f t="shared" si="7"/>
        <v>0</v>
      </c>
    </row>
    <row r="40" spans="1:21" ht="15" customHeight="1" x14ac:dyDescent="0.2">
      <c r="A40" s="153">
        <v>19</v>
      </c>
      <c r="B40" s="165"/>
      <c r="C40" s="166" t="s">
        <v>276</v>
      </c>
      <c r="D40" s="166" t="s">
        <v>301</v>
      </c>
      <c r="E40" s="166" t="s">
        <v>292</v>
      </c>
      <c r="F40" s="166" t="s">
        <v>293</v>
      </c>
      <c r="G40" s="167">
        <v>5.59</v>
      </c>
      <c r="H40" s="167"/>
      <c r="I40" s="167"/>
      <c r="J40" s="153" t="s">
        <v>314</v>
      </c>
      <c r="K40" s="153" t="s">
        <v>171</v>
      </c>
      <c r="L40" s="95">
        <f>VLOOKUP(K40,Reinigungstage!A10:S31,19,FALSE)</f>
        <v>25</v>
      </c>
      <c r="M40" s="95">
        <f t="shared" si="0"/>
        <v>139.75</v>
      </c>
      <c r="N40" s="168">
        <f t="shared" si="1"/>
        <v>0</v>
      </c>
      <c r="O40" s="95">
        <f ca="1">IF('SVS UnterhaltsRG'!H61="",0,'SVS UnterhaltsRG'!H61)</f>
        <v>0</v>
      </c>
      <c r="P40" s="95">
        <f t="shared" si="2"/>
        <v>0</v>
      </c>
      <c r="Q40" s="95">
        <f t="shared" ca="1" si="3"/>
        <v>0</v>
      </c>
      <c r="R40" s="95">
        <f t="shared" si="4"/>
        <v>0</v>
      </c>
      <c r="S40" s="95">
        <f t="shared" ca="1" si="5"/>
        <v>0</v>
      </c>
      <c r="T40" s="3" t="str">
        <f t="shared" si="6"/>
        <v>Leistungswert eintragen</v>
      </c>
      <c r="U40" s="3">
        <f t="shared" si="7"/>
        <v>0</v>
      </c>
    </row>
    <row r="41" spans="1:21" ht="15" customHeight="1" x14ac:dyDescent="0.2">
      <c r="A41" s="153">
        <v>20</v>
      </c>
      <c r="B41" s="165"/>
      <c r="C41" s="166" t="s">
        <v>276</v>
      </c>
      <c r="D41" s="166" t="s">
        <v>301</v>
      </c>
      <c r="E41" s="166" t="s">
        <v>294</v>
      </c>
      <c r="F41" s="166" t="s">
        <v>293</v>
      </c>
      <c r="G41" s="167">
        <v>18.489999999999998</v>
      </c>
      <c r="H41" s="167"/>
      <c r="I41" s="167"/>
      <c r="J41" s="153" t="s">
        <v>314</v>
      </c>
      <c r="K41" s="153" t="s">
        <v>171</v>
      </c>
      <c r="L41" s="95">
        <f>VLOOKUP(K41,Reinigungstage!A10:S31,19,FALSE)</f>
        <v>25</v>
      </c>
      <c r="M41" s="95">
        <f t="shared" si="0"/>
        <v>462.25</v>
      </c>
      <c r="N41" s="168">
        <f t="shared" si="1"/>
        <v>0</v>
      </c>
      <c r="O41" s="95">
        <f ca="1">IF('SVS UnterhaltsRG'!H61="",0,'SVS UnterhaltsRG'!H61)</f>
        <v>0</v>
      </c>
      <c r="P41" s="95">
        <f t="shared" si="2"/>
        <v>0</v>
      </c>
      <c r="Q41" s="95">
        <f t="shared" ca="1" si="3"/>
        <v>0</v>
      </c>
      <c r="R41" s="95">
        <f t="shared" si="4"/>
        <v>0</v>
      </c>
      <c r="S41" s="95">
        <f t="shared" ca="1" si="5"/>
        <v>0</v>
      </c>
      <c r="T41" s="3" t="str">
        <f t="shared" si="6"/>
        <v>Leistungswert eintragen</v>
      </c>
      <c r="U41" s="3">
        <f t="shared" si="7"/>
        <v>0</v>
      </c>
    </row>
    <row r="42" spans="1:21" ht="15" customHeight="1" x14ac:dyDescent="0.2">
      <c r="A42" s="153">
        <v>21</v>
      </c>
      <c r="B42" s="165"/>
      <c r="C42" s="166" t="s">
        <v>276</v>
      </c>
      <c r="D42" s="166" t="s">
        <v>301</v>
      </c>
      <c r="E42" s="166" t="s">
        <v>296</v>
      </c>
      <c r="F42" s="166" t="s">
        <v>293</v>
      </c>
      <c r="G42" s="167">
        <v>3.9</v>
      </c>
      <c r="H42" s="167"/>
      <c r="I42" s="167"/>
      <c r="J42" s="153" t="s">
        <v>314</v>
      </c>
      <c r="K42" s="153" t="s">
        <v>171</v>
      </c>
      <c r="L42" s="95">
        <f>VLOOKUP(K42,Reinigungstage!A10:S31,19,FALSE)</f>
        <v>25</v>
      </c>
      <c r="M42" s="95">
        <f t="shared" si="0"/>
        <v>97.5</v>
      </c>
      <c r="N42" s="168">
        <f t="shared" si="1"/>
        <v>0</v>
      </c>
      <c r="O42" s="95">
        <f ca="1">IF('SVS UnterhaltsRG'!H61="",0,'SVS UnterhaltsRG'!H61)</f>
        <v>0</v>
      </c>
      <c r="P42" s="95">
        <f t="shared" si="2"/>
        <v>0</v>
      </c>
      <c r="Q42" s="95">
        <f t="shared" ca="1" si="3"/>
        <v>0</v>
      </c>
      <c r="R42" s="95">
        <f t="shared" si="4"/>
        <v>0</v>
      </c>
      <c r="S42" s="95">
        <f t="shared" ca="1" si="5"/>
        <v>0</v>
      </c>
      <c r="T42" s="3" t="str">
        <f t="shared" si="6"/>
        <v>Leistungswert eintragen</v>
      </c>
      <c r="U42" s="3">
        <f t="shared" si="7"/>
        <v>0</v>
      </c>
    </row>
    <row r="43" spans="1:21" ht="15" customHeight="1" x14ac:dyDescent="0.2">
      <c r="A43" s="153">
        <v>22</v>
      </c>
      <c r="B43" s="165"/>
      <c r="C43" s="166" t="s">
        <v>276</v>
      </c>
      <c r="D43" s="166" t="s">
        <v>301</v>
      </c>
      <c r="E43" s="166" t="s">
        <v>295</v>
      </c>
      <c r="F43" s="166" t="s">
        <v>293</v>
      </c>
      <c r="G43" s="167">
        <v>1.99</v>
      </c>
      <c r="H43" s="167"/>
      <c r="I43" s="167"/>
      <c r="J43" s="153" t="s">
        <v>314</v>
      </c>
      <c r="K43" s="153" t="s">
        <v>171</v>
      </c>
      <c r="L43" s="95">
        <f>VLOOKUP(K43,Reinigungstage!A10:S31,19,FALSE)</f>
        <v>25</v>
      </c>
      <c r="M43" s="95">
        <f t="shared" si="0"/>
        <v>49.75</v>
      </c>
      <c r="N43" s="168">
        <f t="shared" si="1"/>
        <v>0</v>
      </c>
      <c r="O43" s="95">
        <f ca="1">IF('SVS UnterhaltsRG'!H61="",0,'SVS UnterhaltsRG'!H61)</f>
        <v>0</v>
      </c>
      <c r="P43" s="95">
        <f t="shared" si="2"/>
        <v>0</v>
      </c>
      <c r="Q43" s="95">
        <f t="shared" ca="1" si="3"/>
        <v>0</v>
      </c>
      <c r="R43" s="95">
        <f t="shared" si="4"/>
        <v>0</v>
      </c>
      <c r="S43" s="95">
        <f t="shared" ca="1" si="5"/>
        <v>0</v>
      </c>
      <c r="T43" s="3" t="str">
        <f t="shared" si="6"/>
        <v>Leistungswert eintragen</v>
      </c>
      <c r="U43" s="3">
        <f t="shared" si="7"/>
        <v>0</v>
      </c>
    </row>
    <row r="44" spans="1:21" ht="15" customHeight="1" x14ac:dyDescent="0.2">
      <c r="A44" s="153">
        <v>23</v>
      </c>
      <c r="B44" s="165"/>
      <c r="C44" s="166" t="s">
        <v>276</v>
      </c>
      <c r="D44" s="166" t="s">
        <v>301</v>
      </c>
      <c r="E44" s="166" t="s">
        <v>292</v>
      </c>
      <c r="F44" s="166" t="s">
        <v>293</v>
      </c>
      <c r="G44" s="167">
        <v>5.59</v>
      </c>
      <c r="H44" s="167"/>
      <c r="I44" s="167"/>
      <c r="J44" s="153" t="s">
        <v>314</v>
      </c>
      <c r="K44" s="153" t="s">
        <v>171</v>
      </c>
      <c r="L44" s="95">
        <f>VLOOKUP(K44,Reinigungstage!A10:S31,19,FALSE)</f>
        <v>25</v>
      </c>
      <c r="M44" s="95">
        <f t="shared" si="0"/>
        <v>139.75</v>
      </c>
      <c r="N44" s="168">
        <f t="shared" si="1"/>
        <v>0</v>
      </c>
      <c r="O44" s="95">
        <f ca="1">IF('SVS UnterhaltsRG'!H61="",0,'SVS UnterhaltsRG'!H61)</f>
        <v>0</v>
      </c>
      <c r="P44" s="95">
        <f t="shared" si="2"/>
        <v>0</v>
      </c>
      <c r="Q44" s="95">
        <f t="shared" ca="1" si="3"/>
        <v>0</v>
      </c>
      <c r="R44" s="95">
        <f t="shared" si="4"/>
        <v>0</v>
      </c>
      <c r="S44" s="95">
        <f t="shared" ca="1" si="5"/>
        <v>0</v>
      </c>
      <c r="T44" s="3" t="str">
        <f t="shared" si="6"/>
        <v>Leistungswert eintragen</v>
      </c>
      <c r="U44" s="3">
        <f t="shared" si="7"/>
        <v>0</v>
      </c>
    </row>
    <row r="45" spans="1:21" ht="15" customHeight="1" x14ac:dyDescent="0.2">
      <c r="A45" s="153">
        <v>24</v>
      </c>
      <c r="B45" s="165" t="s">
        <v>297</v>
      </c>
      <c r="C45" s="166" t="s">
        <v>276</v>
      </c>
      <c r="D45" s="166" t="s">
        <v>301</v>
      </c>
      <c r="E45" s="166" t="s">
        <v>291</v>
      </c>
      <c r="F45" s="166" t="s">
        <v>287</v>
      </c>
      <c r="G45" s="167">
        <v>14.56</v>
      </c>
      <c r="H45" s="167"/>
      <c r="I45" s="167"/>
      <c r="J45" s="153" t="s">
        <v>291</v>
      </c>
      <c r="K45" s="153" t="s">
        <v>171</v>
      </c>
      <c r="L45" s="95">
        <f>VLOOKUP(K45,Reinigungstage!A10:S31,19,FALSE)</f>
        <v>25</v>
      </c>
      <c r="M45" s="95">
        <f t="shared" si="0"/>
        <v>364</v>
      </c>
      <c r="N45" s="168">
        <f t="shared" si="1"/>
        <v>0</v>
      </c>
      <c r="O45" s="95">
        <f ca="1">IF('SVS UnterhaltsRG'!H61="",0,'SVS UnterhaltsRG'!H61)</f>
        <v>0</v>
      </c>
      <c r="P45" s="95">
        <f t="shared" si="2"/>
        <v>0</v>
      </c>
      <c r="Q45" s="95">
        <f t="shared" ca="1" si="3"/>
        <v>0</v>
      </c>
      <c r="R45" s="95">
        <f t="shared" si="4"/>
        <v>0</v>
      </c>
      <c r="S45" s="95">
        <f t="shared" ca="1" si="5"/>
        <v>0</v>
      </c>
      <c r="T45" s="3" t="str">
        <f t="shared" si="6"/>
        <v>Leistungswert eintragen</v>
      </c>
      <c r="U45" s="3">
        <f t="shared" si="7"/>
        <v>0</v>
      </c>
    </row>
    <row r="46" spans="1:21" ht="15" customHeight="1" x14ac:dyDescent="0.2">
      <c r="A46" s="153">
        <v>25</v>
      </c>
      <c r="B46" s="165"/>
      <c r="C46" s="166" t="s">
        <v>276</v>
      </c>
      <c r="D46" s="166" t="s">
        <v>301</v>
      </c>
      <c r="E46" s="166" t="s">
        <v>295</v>
      </c>
      <c r="F46" s="166" t="s">
        <v>293</v>
      </c>
      <c r="G46" s="167">
        <v>3.37</v>
      </c>
      <c r="H46" s="167"/>
      <c r="I46" s="167"/>
      <c r="J46" s="153" t="s">
        <v>314</v>
      </c>
      <c r="K46" s="153" t="s">
        <v>171</v>
      </c>
      <c r="L46" s="95">
        <f>VLOOKUP(K46,Reinigungstage!A10:S31,19,FALSE)</f>
        <v>25</v>
      </c>
      <c r="M46" s="95">
        <f t="shared" si="0"/>
        <v>84.25</v>
      </c>
      <c r="N46" s="168">
        <f t="shared" si="1"/>
        <v>0</v>
      </c>
      <c r="O46" s="95">
        <f ca="1">IF('SVS UnterhaltsRG'!H61="",0,'SVS UnterhaltsRG'!H61)</f>
        <v>0</v>
      </c>
      <c r="P46" s="95">
        <f t="shared" si="2"/>
        <v>0</v>
      </c>
      <c r="Q46" s="95">
        <f t="shared" ca="1" si="3"/>
        <v>0</v>
      </c>
      <c r="R46" s="95">
        <f t="shared" si="4"/>
        <v>0</v>
      </c>
      <c r="S46" s="95">
        <f t="shared" ca="1" si="5"/>
        <v>0</v>
      </c>
      <c r="T46" s="3" t="str">
        <f t="shared" si="6"/>
        <v>Leistungswert eintragen</v>
      </c>
      <c r="U46" s="3">
        <f t="shared" si="7"/>
        <v>0</v>
      </c>
    </row>
    <row r="47" spans="1:21" ht="15" customHeight="1" x14ac:dyDescent="0.2">
      <c r="A47" s="153">
        <v>26</v>
      </c>
      <c r="B47" s="165"/>
      <c r="C47" s="166" t="s">
        <v>306</v>
      </c>
      <c r="D47" s="166"/>
      <c r="E47" s="166" t="s">
        <v>307</v>
      </c>
      <c r="F47" s="166" t="s">
        <v>287</v>
      </c>
      <c r="G47" s="167">
        <v>157.68</v>
      </c>
      <c r="H47" s="167"/>
      <c r="I47" s="167"/>
      <c r="J47" s="153" t="s">
        <v>315</v>
      </c>
      <c r="K47" s="153" t="s">
        <v>171</v>
      </c>
      <c r="L47" s="95">
        <f>VLOOKUP(K47,Reinigungstage!A10:S31,19,FALSE)</f>
        <v>25</v>
      </c>
      <c r="M47" s="95">
        <f t="shared" si="0"/>
        <v>3942</v>
      </c>
      <c r="N47" s="168">
        <f t="shared" si="1"/>
        <v>0</v>
      </c>
      <c r="O47" s="95">
        <f ca="1">IF('SVS UnterhaltsRG'!H61="",0,'SVS UnterhaltsRG'!H61)</f>
        <v>0</v>
      </c>
      <c r="P47" s="95">
        <f t="shared" si="2"/>
        <v>0</v>
      </c>
      <c r="Q47" s="95">
        <f t="shared" ca="1" si="3"/>
        <v>0</v>
      </c>
      <c r="R47" s="95">
        <f t="shared" si="4"/>
        <v>0</v>
      </c>
      <c r="S47" s="95">
        <f t="shared" ca="1" si="5"/>
        <v>0</v>
      </c>
      <c r="T47" s="3" t="str">
        <f t="shared" si="6"/>
        <v>Leistungswert eintragen</v>
      </c>
      <c r="U47" s="3">
        <f t="shared" si="7"/>
        <v>0</v>
      </c>
    </row>
    <row r="48" spans="1:21" ht="15" customHeight="1" x14ac:dyDescent="0.2">
      <c r="A48" s="153">
        <v>27</v>
      </c>
      <c r="B48" s="165"/>
      <c r="C48" s="166" t="s">
        <v>306</v>
      </c>
      <c r="D48" s="166"/>
      <c r="E48" s="166" t="s">
        <v>309</v>
      </c>
      <c r="F48" s="166" t="s">
        <v>287</v>
      </c>
      <c r="G48" s="167">
        <v>10.25</v>
      </c>
      <c r="H48" s="167"/>
      <c r="I48" s="167"/>
      <c r="J48" s="153" t="s">
        <v>310</v>
      </c>
      <c r="K48" s="153" t="s">
        <v>171</v>
      </c>
      <c r="L48" s="95">
        <f>VLOOKUP(K48,Reinigungstage!A10:S31,19,FALSE)</f>
        <v>25</v>
      </c>
      <c r="M48" s="95">
        <f t="shared" si="0"/>
        <v>256.25</v>
      </c>
      <c r="N48" s="168">
        <f t="shared" si="1"/>
        <v>0</v>
      </c>
      <c r="O48" s="95">
        <f ca="1">IF('SVS UnterhaltsRG'!H61="",0,'SVS UnterhaltsRG'!H61)</f>
        <v>0</v>
      </c>
      <c r="P48" s="95">
        <f t="shared" si="2"/>
        <v>0</v>
      </c>
      <c r="Q48" s="95">
        <f t="shared" ca="1" si="3"/>
        <v>0</v>
      </c>
      <c r="R48" s="95">
        <f t="shared" si="4"/>
        <v>0</v>
      </c>
      <c r="S48" s="95">
        <f t="shared" ca="1" si="5"/>
        <v>0</v>
      </c>
      <c r="T48" s="3" t="str">
        <f t="shared" si="6"/>
        <v>Leistungswert eintragen</v>
      </c>
      <c r="U48" s="3">
        <f t="shared" si="7"/>
        <v>0</v>
      </c>
    </row>
    <row r="49" spans="1:21" ht="15" customHeight="1" x14ac:dyDescent="0.2">
      <c r="A49" s="153">
        <v>28</v>
      </c>
      <c r="B49" s="165"/>
      <c r="C49" s="166" t="s">
        <v>306</v>
      </c>
      <c r="D49" s="166"/>
      <c r="E49" s="166" t="s">
        <v>310</v>
      </c>
      <c r="F49" s="166" t="s">
        <v>284</v>
      </c>
      <c r="G49" s="167">
        <v>5.8</v>
      </c>
      <c r="H49" s="167"/>
      <c r="I49" s="167"/>
      <c r="J49" s="153" t="s">
        <v>310</v>
      </c>
      <c r="K49" s="153" t="s">
        <v>171</v>
      </c>
      <c r="L49" s="95">
        <f>VLOOKUP(K49,Reinigungstage!A10:S31,19,FALSE)</f>
        <v>25</v>
      </c>
      <c r="M49" s="95">
        <f t="shared" si="0"/>
        <v>145</v>
      </c>
      <c r="N49" s="168">
        <f t="shared" si="1"/>
        <v>0</v>
      </c>
      <c r="O49" s="95">
        <f ca="1">IF('SVS UnterhaltsRG'!H61="",0,'SVS UnterhaltsRG'!H61)</f>
        <v>0</v>
      </c>
      <c r="P49" s="95">
        <f t="shared" si="2"/>
        <v>0</v>
      </c>
      <c r="Q49" s="95">
        <f t="shared" ca="1" si="3"/>
        <v>0</v>
      </c>
      <c r="R49" s="95">
        <f t="shared" si="4"/>
        <v>0</v>
      </c>
      <c r="S49" s="95">
        <f t="shared" ca="1" si="5"/>
        <v>0</v>
      </c>
      <c r="T49" s="3" t="str">
        <f t="shared" si="6"/>
        <v>Leistungswert eintragen</v>
      </c>
      <c r="U49" s="3">
        <f t="shared" si="7"/>
        <v>0</v>
      </c>
    </row>
  </sheetData>
  <sheetProtection algorithmName="SHA-512" hashValue="KweUiq5E+GoIPrYx84NUU9N64q7Y5dSk7Tpq/JKCb8PKhXPHVBGZeqQY3Czn5vt1M/8GcR3vGiu/zWyl22ZZZg==" saltValue="bYYy0gMOgK3hN9fHodZMFQ==" spinCount="100000" sheet="1" objects="1" scenarios="1"/>
  <sortState xmlns:xlrd2="http://schemas.microsoft.com/office/spreadsheetml/2017/richdata2" ref="U4:U10">
    <sortCondition ref="U4"/>
  </sortState>
  <mergeCells count="16">
    <mergeCell ref="B13:E13"/>
    <mergeCell ref="B4:E5"/>
    <mergeCell ref="B6:E6"/>
    <mergeCell ref="B7:E7"/>
    <mergeCell ref="B8:E8"/>
    <mergeCell ref="B9:E9"/>
    <mergeCell ref="B10:E10"/>
    <mergeCell ref="B11:E11"/>
    <mergeCell ref="B12:E12"/>
    <mergeCell ref="N2:Q5"/>
    <mergeCell ref="A4:A5"/>
    <mergeCell ref="A2:E2"/>
    <mergeCell ref="G2:G3"/>
    <mergeCell ref="H2:H3"/>
    <mergeCell ref="I2:I3"/>
    <mergeCell ref="J2:J3"/>
  </mergeCells>
  <conditionalFormatting sqref="T22:T49">
    <cfRule type="containsText" dxfId="182" priority="1" stopIfTrue="1" operator="containsText" text="SVS prüfen">
      <formula>NOT(ISERROR(SEARCH("SVS prüfen",T22)))</formula>
    </cfRule>
    <cfRule type="containsText" dxfId="181" priority="2" stopIfTrue="1" operator="containsText" text="Leistungswert eintragen">
      <formula>NOT(ISERROR(SEARCH("Leistungswert eintragen",T22)))</formula>
    </cfRule>
  </conditionalFormatting>
  <hyperlinks>
    <hyperlink ref="M1" location="Inhaltsverzeichnis!A1" display="Zurück zum Inhaltsverzeichnis" xr:uid="{44CE84E7-0A00-46C6-877F-1A690EAD3FCE}"/>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&amp;RKal Unter Bed Bremmel TH&amp;LStadt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sizeWithCells="1">
                  <from>
                    <xdr:col>12</xdr:col>
                    <xdr:colOff>19050</xdr:colOff>
                    <xdr:row>1</xdr:row>
                    <xdr:rowOff>38100</xdr:rowOff>
                  </from>
                  <to>
                    <xdr:col>12</xdr:col>
                    <xdr:colOff>809625</xdr:colOff>
                    <xdr:row>2</xdr:row>
                    <xdr:rowOff>19050</xdr:rowOff>
                  </to>
                </anchor>
              </controlPr>
            </control>
          </mc:Choice>
        </mc:AlternateContent>
        <mc:AlternateContent xmlns:mc="http://schemas.openxmlformats.org/markup-compatibility/2006">
          <mc:Choice Requires="x14">
            <control shapeId="106498" r:id="rId5" name="Check Box 2">
              <controlPr defaultSize="0" autoFill="0" autoLine="0" autoPict="0" altText="Hinweis 2">
                <anchor moveWithCells="1" sizeWithCells="1">
                  <from>
                    <xdr:col>12</xdr:col>
                    <xdr:colOff>19050</xdr:colOff>
                    <xdr:row>2</xdr:row>
                    <xdr:rowOff>19050</xdr:rowOff>
                  </from>
                  <to>
                    <xdr:col>12</xdr:col>
                    <xdr:colOff>809625</xdr:colOff>
                    <xdr:row>2</xdr:row>
                    <xdr:rowOff>266700</xdr:rowOff>
                  </to>
                </anchor>
              </controlPr>
            </control>
          </mc:Choice>
        </mc:AlternateContent>
        <mc:AlternateContent xmlns:mc="http://schemas.openxmlformats.org/markup-compatibility/2006">
          <mc:Choice Requires="x14">
            <control shapeId="106499" r:id="rId6" name="Check Box 3">
              <controlPr defaultSize="0" autoFill="0" autoLine="0" autoPict="0" altText="Hinweis 3">
                <anchor moveWithCells="1" sizeWithCells="1">
                  <from>
                    <xdr:col>12</xdr:col>
                    <xdr:colOff>19050</xdr:colOff>
                    <xdr:row>3</xdr:row>
                    <xdr:rowOff>9525</xdr:rowOff>
                  </from>
                  <to>
                    <xdr:col>12</xdr:col>
                    <xdr:colOff>809625</xdr:colOff>
                    <xdr:row>4</xdr:row>
                    <xdr:rowOff>57150</xdr:rowOff>
                  </to>
                </anchor>
              </controlPr>
            </control>
          </mc:Choice>
        </mc:AlternateContent>
        <mc:AlternateContent xmlns:mc="http://schemas.openxmlformats.org/markup-compatibility/2006">
          <mc:Choice Requires="x14">
            <control shapeId="106500" r:id="rId7" name="Check Box 4">
              <controlPr defaultSize="0" autoFill="0" autoLine="0" autoPict="0" altText="Hinweis 3">
                <anchor moveWithCells="1" sizeWithCells="1">
                  <from>
                    <xdr:col>12</xdr:col>
                    <xdr:colOff>19050</xdr:colOff>
                    <xdr:row>4</xdr:row>
                    <xdr:rowOff>66675</xdr:rowOff>
                  </from>
                  <to>
                    <xdr:col>12</xdr:col>
                    <xdr:colOff>809625</xdr:colOff>
                    <xdr:row>5</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463CF-5D2C-4501-A7D0-54FAA2E78A48}">
  <sheetPr codeName="Tabelle42">
    <tabColor indexed="40"/>
  </sheetPr>
  <dimension ref="A1:X56"/>
  <sheetViews>
    <sheetView showGridLines="0" zoomScaleNormal="100" workbookViewId="0">
      <pane ySplit="21" topLeftCell="A22" activePane="bottomLeft" state="frozen"/>
      <selection pane="bottomLeft"/>
    </sheetView>
  </sheetViews>
  <sheetFormatPr baseColWidth="10" defaultColWidth="0" defaultRowHeight="15" customHeight="1" x14ac:dyDescent="0.2"/>
  <cols>
    <col min="1" max="1" width="11.7109375" style="3" customWidth="1"/>
    <col min="2" max="2" width="7.7109375" style="3" customWidth="1"/>
    <col min="3" max="3" width="5.7109375" style="3" customWidth="1"/>
    <col min="4" max="4" width="9.42578125" style="3" customWidth="1"/>
    <col min="5" max="5" width="21.7109375" style="3" customWidth="1"/>
    <col min="6" max="6" width="13.5703125" style="3" bestFit="1" customWidth="1"/>
    <col min="7" max="7" width="10.7109375" style="3" customWidth="1"/>
    <col min="8" max="8" width="9.7109375" style="3" customWidth="1"/>
    <col min="9" max="9" width="11.7109375" style="3" customWidth="1"/>
    <col min="10" max="10" width="10.5703125" style="3" bestFit="1" customWidth="1"/>
    <col min="11" max="11" width="7.85546875" style="3" customWidth="1"/>
    <col min="12" max="12" width="8.7109375" style="3" customWidth="1"/>
    <col min="13" max="13" width="11.42578125" style="3" customWidth="1"/>
    <col min="14" max="14" width="9.42578125" style="3" customWidth="1"/>
    <col min="15" max="15" width="8.42578125" style="3" customWidth="1"/>
    <col min="16" max="17" width="11.42578125" style="3" customWidth="1"/>
    <col min="18" max="18" width="10.5703125" style="3" customWidth="1"/>
    <col min="19" max="19" width="25.5703125" style="3" customWidth="1"/>
    <col min="20" max="16384" width="6.42578125" style="3" hidden="1"/>
  </cols>
  <sheetData>
    <row r="1" spans="1:22" ht="15" customHeight="1" x14ac:dyDescent="0.2">
      <c r="M1" s="5" t="s">
        <v>100</v>
      </c>
    </row>
    <row r="2" spans="1:22" ht="20.45" customHeight="1" x14ac:dyDescent="0.2">
      <c r="A2" s="217" t="s">
        <v>177</v>
      </c>
      <c r="B2" s="218"/>
      <c r="C2" s="218"/>
      <c r="D2" s="218"/>
      <c r="E2" s="219"/>
      <c r="G2" s="220" t="s">
        <v>190</v>
      </c>
      <c r="H2" s="220" t="s">
        <v>182</v>
      </c>
      <c r="I2" s="220" t="s">
        <v>183</v>
      </c>
      <c r="J2" s="220" t="s">
        <v>202</v>
      </c>
      <c r="M2" s="141" t="b">
        <v>0</v>
      </c>
      <c r="N2" s="192" t="str">
        <f>IF(M2=TRUE,"Bitte tragen Sie Ihre Leistungswerte in die gelben Zellen direkt unter der Zelle Leistungswerte (m²/h) ein. Die Leistungswerte werden automatisch in die untere Kalkulation übernommen. Die linke Tabelle ist lediglich eine Ausfüllhilfe.",IF(M3=TRUE,"Wenn eine Jahresreinigungsfläche für eine Reinigungsgruppe mit 0 angegeben ist, brauchen Sie den Leistungswert nicht auszufüllen. Es schadet aber nichts, wenn Sie es trotzdem tun.",IF(M4=TRUE,"Sie können in der Kalkulationstabelle (unten) in jedem einzelnen Raum die Leistungswerte (gelbe Zellen) beliebig oft individuell anpassen. Mit dem individuellen Überschreiben wird die Verknüpfung zu den Leistungswerten in der obigen Tabelle aufgehoben.",IF( M5=TRUE,"Die rot markierten Informationen sind auch lediglich eine Unterstützung. Sie erscheinen, wenn gelbe Zellen in dieser Tabelle oder in den Stundenverrechnungssätzen (SVS) nicht ausgefüllt sind. Wenn keine rote Schrift mehr da ist, ist alles vollständig.",""))))</f>
        <v/>
      </c>
      <c r="O2" s="192"/>
      <c r="P2" s="192"/>
      <c r="Q2" s="192"/>
    </row>
    <row r="3" spans="1:22" ht="24" customHeight="1" x14ac:dyDescent="0.2">
      <c r="A3" s="154" t="s">
        <v>185</v>
      </c>
      <c r="B3" s="155"/>
      <c r="C3" s="155"/>
      <c r="D3" s="155"/>
      <c r="E3" s="156"/>
      <c r="G3" s="221"/>
      <c r="H3" s="221"/>
      <c r="I3" s="221"/>
      <c r="J3" s="221"/>
      <c r="M3" s="141" t="b">
        <v>0</v>
      </c>
      <c r="N3" s="192"/>
      <c r="O3" s="192"/>
      <c r="P3" s="192"/>
      <c r="Q3" s="192"/>
    </row>
    <row r="4" spans="1:22" ht="18.600000000000001" customHeight="1" x14ac:dyDescent="0.2">
      <c r="A4" s="215" t="s">
        <v>91</v>
      </c>
      <c r="B4" s="225" t="str">
        <f>IF(Inhaltsverzeichnis!C3="","",Inhaltsverzeichnis!C3)</f>
        <v/>
      </c>
      <c r="C4" s="226"/>
      <c r="D4" s="226"/>
      <c r="E4" s="227"/>
      <c r="G4" s="153" t="s">
        <v>315</v>
      </c>
      <c r="H4" s="157"/>
      <c r="I4" s="158">
        <f ca="1">SUMIF('Kal Grund Bremmel TH'!J22:M56,$G$4,'Kal Grund Bremmel TH'!M22:M56)</f>
        <v>170.88</v>
      </c>
      <c r="J4" s="118">
        <f>COUNTIFS('Kal Grund Bremmel TH'!J22:M56,$G$4)</f>
        <v>2</v>
      </c>
      <c r="M4" s="141" t="b">
        <v>0</v>
      </c>
      <c r="N4" s="192"/>
      <c r="O4" s="192"/>
      <c r="P4" s="192"/>
      <c r="Q4" s="192"/>
      <c r="U4" s="153" t="s">
        <v>315</v>
      </c>
      <c r="V4" s="3">
        <v>15</v>
      </c>
    </row>
    <row r="5" spans="1:22" ht="15" customHeight="1" x14ac:dyDescent="0.2">
      <c r="A5" s="216"/>
      <c r="B5" s="228"/>
      <c r="C5" s="229"/>
      <c r="D5" s="229"/>
      <c r="E5" s="230"/>
      <c r="G5" s="153" t="s">
        <v>314</v>
      </c>
      <c r="H5" s="157"/>
      <c r="I5" s="158">
        <f ca="1">SUMIF('Kal Grund Bremmel TH'!J22:M56,$G$5,'Kal Grund Bremmel TH'!M22:M56)</f>
        <v>87.190000000000012</v>
      </c>
      <c r="J5" s="118">
        <f>COUNTIFS('Kal Grund Bremmel TH'!J22:M56,$G$5)</f>
        <v>14</v>
      </c>
      <c r="M5" s="141" t="b">
        <v>0</v>
      </c>
      <c r="N5" s="192"/>
      <c r="O5" s="192"/>
      <c r="P5" s="192"/>
      <c r="Q5" s="192"/>
      <c r="U5" s="153" t="s">
        <v>314</v>
      </c>
      <c r="V5" s="3">
        <v>11</v>
      </c>
    </row>
    <row r="6" spans="1:22" ht="15" customHeight="1" x14ac:dyDescent="0.2">
      <c r="A6" s="159" t="s">
        <v>200</v>
      </c>
      <c r="B6" s="231" t="s">
        <v>245</v>
      </c>
      <c r="C6" s="232"/>
      <c r="D6" s="232"/>
      <c r="E6" s="233"/>
      <c r="G6" s="153" t="s">
        <v>311</v>
      </c>
      <c r="H6" s="157"/>
      <c r="I6" s="158">
        <f ca="1">SUMIF('Kal Grund Bremmel TH'!J22:M56,$G$6,'Kal Grund Bremmel TH'!M22:M56)</f>
        <v>963</v>
      </c>
      <c r="J6" s="118">
        <f>COUNTIFS('Kal Grund Bremmel TH'!J22:M56,$G$6)</f>
        <v>1</v>
      </c>
      <c r="U6" s="153" t="s">
        <v>311</v>
      </c>
      <c r="V6" s="3">
        <v>25.5</v>
      </c>
    </row>
    <row r="7" spans="1:22" ht="15" customHeight="1" x14ac:dyDescent="0.2">
      <c r="A7" s="160" t="s">
        <v>198</v>
      </c>
      <c r="B7" s="234" t="s">
        <v>246</v>
      </c>
      <c r="C7" s="232"/>
      <c r="D7" s="232"/>
      <c r="E7" s="233"/>
      <c r="G7" s="153" t="s">
        <v>312</v>
      </c>
      <c r="H7" s="157"/>
      <c r="I7" s="158">
        <f ca="1">SUMIF('Kal Grund Bremmel TH'!J22:M56,$G$7,'Kal Grund Bremmel TH'!M22:M56)</f>
        <v>502</v>
      </c>
      <c r="J7" s="118">
        <f>COUNTIFS('Kal Grund Bremmel TH'!J22:M56,$G$7)</f>
        <v>7</v>
      </c>
      <c r="U7" s="153" t="s">
        <v>312</v>
      </c>
      <c r="V7" s="3">
        <v>18.5</v>
      </c>
    </row>
    <row r="8" spans="1:22" ht="15" customHeight="1" x14ac:dyDescent="0.2">
      <c r="A8" s="160" t="s">
        <v>199</v>
      </c>
      <c r="B8" s="231"/>
      <c r="C8" s="232"/>
      <c r="D8" s="232"/>
      <c r="E8" s="233"/>
      <c r="G8" s="153" t="s">
        <v>310</v>
      </c>
      <c r="H8" s="157"/>
      <c r="I8" s="158">
        <f ca="1">SUMIF('Kal Grund Bremmel TH'!J22:M56,$G$8,'Kal Grund Bremmel TH'!M22:M56)</f>
        <v>16.05</v>
      </c>
      <c r="J8" s="118">
        <f>COUNTIFS('Kal Grund Bremmel TH'!J22:M56,$G$8)</f>
        <v>2</v>
      </c>
      <c r="L8" s="169" t="str">
        <f>IF(N14&gt;0,"Ihre Eintragungen der Leistungswerte liegen weit über den Erfahrungswerten aus der Preisschätzung.","")</f>
        <v/>
      </c>
      <c r="U8" s="153" t="s">
        <v>310</v>
      </c>
      <c r="V8" s="3">
        <v>16.5</v>
      </c>
    </row>
    <row r="9" spans="1:22" ht="15" customHeight="1" x14ac:dyDescent="0.2">
      <c r="A9" s="159" t="s">
        <v>197</v>
      </c>
      <c r="B9" s="235" t="s">
        <v>244</v>
      </c>
      <c r="C9" s="232"/>
      <c r="D9" s="232"/>
      <c r="E9" s="233"/>
      <c r="G9" s="153" t="s">
        <v>291</v>
      </c>
      <c r="H9" s="157"/>
      <c r="I9" s="158">
        <f ca="1">SUMIF('Kal Grund Bremmel TH'!J22:M56,$G$9,'Kal Grund Bremmel TH'!M22:M56)</f>
        <v>71.25</v>
      </c>
      <c r="J9" s="118">
        <f>COUNTIFS('Kal Grund Bremmel TH'!J22:M56,$G$9)</f>
        <v>6</v>
      </c>
      <c r="L9" s="169" t="str">
        <f>IF(N14&gt;0,"Bitte prüfen Sie diese.","")</f>
        <v/>
      </c>
      <c r="U9" s="153" t="s">
        <v>291</v>
      </c>
      <c r="V9" s="3">
        <v>15.5</v>
      </c>
    </row>
    <row r="10" spans="1:22" ht="15" customHeight="1" x14ac:dyDescent="0.2">
      <c r="A10" s="160" t="s">
        <v>179</v>
      </c>
      <c r="B10" s="231" t="s">
        <v>247</v>
      </c>
      <c r="C10" s="232"/>
      <c r="D10" s="232"/>
      <c r="E10" s="233"/>
      <c r="G10" s="153" t="s">
        <v>313</v>
      </c>
      <c r="H10" s="157"/>
      <c r="I10" s="158">
        <f ca="1">SUMIF('Kal Grund Bremmel TH'!J22:M56,$G$10,'Kal Grund Bremmel TH'!M22:M56)</f>
        <v>84.03</v>
      </c>
      <c r="J10" s="118">
        <f>COUNTIFS('Kal Grund Bremmel TH'!J22:M56,$G$10)</f>
        <v>3</v>
      </c>
      <c r="L10" s="169" t="str">
        <f>IF(N14&gt;0,"Beachten Sie, dass Sie frei in der Kalkulation dieser Leistungswerte sind und wir durch den Hinweis","")</f>
        <v/>
      </c>
      <c r="U10" s="153" t="s">
        <v>313</v>
      </c>
      <c r="V10" s="3">
        <v>20</v>
      </c>
    </row>
    <row r="11" spans="1:22" ht="15" customHeight="1" x14ac:dyDescent="0.2">
      <c r="A11" s="160" t="s">
        <v>180</v>
      </c>
      <c r="B11" s="236" t="s">
        <v>248</v>
      </c>
      <c r="C11" s="232"/>
      <c r="D11" s="232"/>
      <c r="E11" s="233"/>
      <c r="L11" s="169" t="str">
        <f>IF(N14&gt;0,"lediglich Fehleingaben vermeiden wollen.","")</f>
        <v/>
      </c>
    </row>
    <row r="12" spans="1:22" ht="15" customHeight="1" x14ac:dyDescent="0.2">
      <c r="A12" s="160" t="s">
        <v>181</v>
      </c>
      <c r="B12" s="231" t="s">
        <v>249</v>
      </c>
      <c r="C12" s="232"/>
      <c r="D12" s="232"/>
      <c r="E12" s="233"/>
    </row>
    <row r="13" spans="1:22" ht="15" customHeight="1" x14ac:dyDescent="0.2">
      <c r="A13" s="160" t="s">
        <v>184</v>
      </c>
      <c r="B13" s="222" t="str">
        <f>HYPERLINK("http://maps.google.de/maps?hl=de&amp;bav=on.2,or.r_qf.&amp;bvm=bv.44770516,d.Yms&amp;biw=1395&amp;bih=916&amp;um=1&amp;ie=UTF-8&amp;q="&amp;B7&amp;"+"&amp;B8&amp;"+"&amp;B10&amp;"+"&amp;B11&amp;"+"&amp;B12&amp;"","In Google-Maps anzeigen (wenn Internet verfügbar)")</f>
        <v>In Google-Maps anzeigen (wenn Internet verfügbar)</v>
      </c>
      <c r="C13" s="223"/>
      <c r="D13" s="223"/>
      <c r="E13" s="224"/>
    </row>
    <row r="14" spans="1:22" ht="15" customHeight="1" x14ac:dyDescent="0.2">
      <c r="N14" s="170">
        <f>COUNTIF(X22:X$56,1)</f>
        <v>0</v>
      </c>
      <c r="O14" s="3" t="str">
        <f>IF(N14&gt;0,"Wert(e) prüfen.","")</f>
        <v/>
      </c>
      <c r="S14" s="161">
        <f>IF(COUNTA($S$22:$S$56)-COUNTBLANK($S$22:$S$56)=0,"",COUNTA($S$22:$S$56)-COUNTBLANK($S$22:$S$56))</f>
        <v>35</v>
      </c>
    </row>
    <row r="15" spans="1:22" ht="15" hidden="1" customHeight="1" x14ac:dyDescent="0.2"/>
    <row r="16" spans="1:22" ht="15" hidden="1" customHeight="1" x14ac:dyDescent="0.2"/>
    <row r="17" spans="1:24" ht="15" hidden="1" customHeight="1" x14ac:dyDescent="0.2"/>
    <row r="18" spans="1:24" ht="15" hidden="1" customHeight="1" x14ac:dyDescent="0.2"/>
    <row r="19" spans="1:24" ht="15" hidden="1" customHeight="1" x14ac:dyDescent="0.2"/>
    <row r="20" spans="1:24" ht="45" customHeight="1" x14ac:dyDescent="0.2">
      <c r="A20" s="1" t="s">
        <v>92</v>
      </c>
      <c r="B20" s="1" t="s">
        <v>97</v>
      </c>
      <c r="C20" s="1" t="s">
        <v>93</v>
      </c>
      <c r="D20" s="1" t="s">
        <v>94</v>
      </c>
      <c r="E20" s="1" t="s">
        <v>98</v>
      </c>
      <c r="F20" s="1" t="s">
        <v>95</v>
      </c>
      <c r="G20" s="1" t="s">
        <v>121</v>
      </c>
      <c r="H20" s="1" t="s">
        <v>108</v>
      </c>
      <c r="I20" s="1" t="s">
        <v>109</v>
      </c>
      <c r="J20" s="1" t="s">
        <v>99</v>
      </c>
      <c r="K20" s="1" t="s">
        <v>106</v>
      </c>
      <c r="L20" s="1" t="s">
        <v>110</v>
      </c>
      <c r="M20" s="1" t="s">
        <v>111</v>
      </c>
      <c r="N20" s="1" t="s">
        <v>107</v>
      </c>
      <c r="O20" s="1" t="s">
        <v>112</v>
      </c>
      <c r="P20" s="1" t="s">
        <v>113</v>
      </c>
      <c r="Q20" s="1" t="s">
        <v>114</v>
      </c>
      <c r="R20" s="1" t="s">
        <v>140</v>
      </c>
    </row>
    <row r="21" spans="1:24" ht="29.1" customHeight="1" x14ac:dyDescent="0.2">
      <c r="A21" s="162" t="s">
        <v>125</v>
      </c>
      <c r="B21" s="14"/>
      <c r="C21" s="14"/>
      <c r="D21" s="14"/>
      <c r="E21" s="14"/>
      <c r="F21" s="14"/>
      <c r="G21" s="163">
        <f>SUM($G$22:$G$56)</f>
        <v>1894.3999999999996</v>
      </c>
      <c r="H21" s="163">
        <f>SUM($H$22:$H$56)</f>
        <v>0</v>
      </c>
      <c r="I21" s="163">
        <f>SUM($I$22:$I$56)</f>
        <v>0</v>
      </c>
      <c r="J21" s="95"/>
      <c r="K21" s="95"/>
      <c r="L21" s="164">
        <f>MAX(L22:L56)</f>
        <v>1</v>
      </c>
      <c r="M21" s="163">
        <f>SUM($M$22:$M$56)</f>
        <v>1894.3999999999996</v>
      </c>
      <c r="N21" s="95"/>
      <c r="O21" s="95"/>
      <c r="P21" s="163">
        <f>SUM($P$22:$P$56)</f>
        <v>0</v>
      </c>
      <c r="Q21" s="163">
        <f>SUM($Q$22:$Q$56)</f>
        <v>0</v>
      </c>
      <c r="R21" s="163">
        <f>ROUND(IF(Q21=0,0,Q21/L21),2)</f>
        <v>0</v>
      </c>
    </row>
    <row r="22" spans="1:24" ht="15" customHeight="1" x14ac:dyDescent="0.2">
      <c r="A22" s="153">
        <v>1</v>
      </c>
      <c r="B22" s="165"/>
      <c r="C22" s="166" t="s">
        <v>276</v>
      </c>
      <c r="D22" s="166"/>
      <c r="E22" s="166" t="s">
        <v>277</v>
      </c>
      <c r="F22" s="166" t="s">
        <v>278</v>
      </c>
      <c r="G22" s="167">
        <v>963</v>
      </c>
      <c r="H22" s="167"/>
      <c r="I22" s="167"/>
      <c r="J22" s="153" t="s">
        <v>311</v>
      </c>
      <c r="K22" s="153" t="s">
        <v>168</v>
      </c>
      <c r="L22" s="95">
        <f>VLOOKUP(K22,Reinigungstage!A10:N31,14,FALSE)</f>
        <v>1</v>
      </c>
      <c r="M22" s="95">
        <f t="shared" ref="M22:M56" si="0">ROUND(IF(L22=0,0,L22*G22),2)</f>
        <v>963</v>
      </c>
      <c r="N22" s="168">
        <f t="shared" ref="N22:N56" si="1">VLOOKUP(J22,$G$4:$H$10,2,FALSE)</f>
        <v>0</v>
      </c>
      <c r="O22" s="95">
        <f ca="1">IF('SVS GrundRG'!H61="",0,'SVS GrundRG'!H61)</f>
        <v>0</v>
      </c>
      <c r="P22" s="95">
        <f t="shared" ref="P22:P56" si="2">ROUND(IF(N22=0,0,M22/N22),2)</f>
        <v>0</v>
      </c>
      <c r="Q22" s="95">
        <f t="shared" ref="Q22:Q56" si="3">ROUND(IF(P22=0,0,P22*O22),2)</f>
        <v>0</v>
      </c>
      <c r="R22" s="95">
        <f t="shared" ref="R22:R56" si="4">ROUND(IF(P22=0,0,Q22/L22),2)</f>
        <v>0</v>
      </c>
      <c r="S22" s="3" t="str">
        <f t="shared" ref="S22:S56" si="5">IF(M22=0,"",IF(N22=0,"Leistungswert eintragen",IF(O22=0,"SVS prüfen","")))</f>
        <v>Leistungswert eintragen</v>
      </c>
      <c r="U22" s="3">
        <f t="shared" ref="U22:U56" si="6">VLOOKUP(J22,$U$4:$V$10,2,FALSE)</f>
        <v>25.5</v>
      </c>
      <c r="V22" s="3">
        <f t="shared" ref="V22:V56" si="7">U22*30%</f>
        <v>7.6499999999999995</v>
      </c>
      <c r="W22" s="3">
        <f t="shared" ref="W22:W56" si="8">SUM(U22:V22)</f>
        <v>33.15</v>
      </c>
      <c r="X22" s="3" t="str">
        <f t="shared" ref="X22:X56" si="9">IF(N22=0,"",IF(W22&lt;N22,1,IF(W22&gt;=N22,0,"")))</f>
        <v/>
      </c>
    </row>
    <row r="23" spans="1:24" ht="15" customHeight="1" x14ac:dyDescent="0.2">
      <c r="A23" s="153">
        <v>2</v>
      </c>
      <c r="B23" s="165"/>
      <c r="C23" s="166" t="s">
        <v>276</v>
      </c>
      <c r="D23" s="166"/>
      <c r="E23" s="166" t="s">
        <v>279</v>
      </c>
      <c r="F23" s="166" t="s">
        <v>280</v>
      </c>
      <c r="G23" s="167">
        <v>330</v>
      </c>
      <c r="H23" s="167"/>
      <c r="I23" s="167"/>
      <c r="J23" s="153" t="s">
        <v>312</v>
      </c>
      <c r="K23" s="153" t="s">
        <v>168</v>
      </c>
      <c r="L23" s="95">
        <f>VLOOKUP(K23,Reinigungstage!A10:N31,14,FALSE)</f>
        <v>1</v>
      </c>
      <c r="M23" s="95">
        <f t="shared" si="0"/>
        <v>330</v>
      </c>
      <c r="N23" s="168">
        <f t="shared" si="1"/>
        <v>0</v>
      </c>
      <c r="O23" s="95">
        <f ca="1">IF('SVS GrundRG'!H61="",0,'SVS GrundRG'!H61)</f>
        <v>0</v>
      </c>
      <c r="P23" s="95">
        <f t="shared" si="2"/>
        <v>0</v>
      </c>
      <c r="Q23" s="95">
        <f t="shared" si="3"/>
        <v>0</v>
      </c>
      <c r="R23" s="95">
        <f t="shared" si="4"/>
        <v>0</v>
      </c>
      <c r="S23" s="3" t="str">
        <f t="shared" si="5"/>
        <v>Leistungswert eintragen</v>
      </c>
      <c r="U23" s="3">
        <f t="shared" si="6"/>
        <v>18.5</v>
      </c>
      <c r="V23" s="3">
        <f t="shared" si="7"/>
        <v>5.55</v>
      </c>
      <c r="W23" s="3">
        <f t="shared" si="8"/>
        <v>24.05</v>
      </c>
      <c r="X23" s="3" t="str">
        <f t="shared" si="9"/>
        <v/>
      </c>
    </row>
    <row r="24" spans="1:24" ht="15" customHeight="1" x14ac:dyDescent="0.2">
      <c r="A24" s="153">
        <v>3</v>
      </c>
      <c r="B24" s="165"/>
      <c r="C24" s="166" t="s">
        <v>276</v>
      </c>
      <c r="D24" s="166"/>
      <c r="E24" s="166" t="s">
        <v>281</v>
      </c>
      <c r="F24" s="166" t="s">
        <v>280</v>
      </c>
      <c r="G24" s="167">
        <v>39.6</v>
      </c>
      <c r="H24" s="167"/>
      <c r="I24" s="167"/>
      <c r="J24" s="153" t="s">
        <v>312</v>
      </c>
      <c r="K24" s="153" t="s">
        <v>168</v>
      </c>
      <c r="L24" s="95">
        <f>VLOOKUP(K24,Reinigungstage!A10:N31,14,FALSE)</f>
        <v>1</v>
      </c>
      <c r="M24" s="95">
        <f t="shared" si="0"/>
        <v>39.6</v>
      </c>
      <c r="N24" s="168">
        <f t="shared" si="1"/>
        <v>0</v>
      </c>
      <c r="O24" s="95">
        <f ca="1">IF('SVS GrundRG'!H61="",0,'SVS GrundRG'!H61)</f>
        <v>0</v>
      </c>
      <c r="P24" s="95">
        <f t="shared" si="2"/>
        <v>0</v>
      </c>
      <c r="Q24" s="95">
        <f t="shared" si="3"/>
        <v>0</v>
      </c>
      <c r="R24" s="95">
        <f t="shared" si="4"/>
        <v>0</v>
      </c>
      <c r="S24" s="3" t="str">
        <f t="shared" si="5"/>
        <v>Leistungswert eintragen</v>
      </c>
      <c r="U24" s="3">
        <f t="shared" si="6"/>
        <v>18.5</v>
      </c>
      <c r="V24" s="3">
        <f t="shared" si="7"/>
        <v>5.55</v>
      </c>
      <c r="W24" s="3">
        <f t="shared" si="8"/>
        <v>24.05</v>
      </c>
      <c r="X24" s="3" t="str">
        <f t="shared" si="9"/>
        <v/>
      </c>
    </row>
    <row r="25" spans="1:24" ht="15" customHeight="1" x14ac:dyDescent="0.2">
      <c r="A25" s="153">
        <v>4</v>
      </c>
      <c r="B25" s="165"/>
      <c r="C25" s="166" t="s">
        <v>276</v>
      </c>
      <c r="D25" s="166"/>
      <c r="E25" s="166" t="s">
        <v>282</v>
      </c>
      <c r="F25" s="166" t="s">
        <v>278</v>
      </c>
      <c r="G25" s="167">
        <v>38.229999999999997</v>
      </c>
      <c r="H25" s="167"/>
      <c r="I25" s="167"/>
      <c r="J25" s="153" t="s">
        <v>312</v>
      </c>
      <c r="K25" s="153" t="s">
        <v>168</v>
      </c>
      <c r="L25" s="95">
        <f>VLOOKUP(K25,Reinigungstage!A10:N31,14,FALSE)</f>
        <v>1</v>
      </c>
      <c r="M25" s="95">
        <f t="shared" si="0"/>
        <v>38.229999999999997</v>
      </c>
      <c r="N25" s="168">
        <f t="shared" si="1"/>
        <v>0</v>
      </c>
      <c r="O25" s="95">
        <f ca="1">IF('SVS GrundRG'!H61="",0,'SVS GrundRG'!H61)</f>
        <v>0</v>
      </c>
      <c r="P25" s="95">
        <f t="shared" si="2"/>
        <v>0</v>
      </c>
      <c r="Q25" s="95">
        <f t="shared" si="3"/>
        <v>0</v>
      </c>
      <c r="R25" s="95">
        <f t="shared" si="4"/>
        <v>0</v>
      </c>
      <c r="S25" s="3" t="str">
        <f t="shared" si="5"/>
        <v>Leistungswert eintragen</v>
      </c>
      <c r="U25" s="3">
        <f t="shared" si="6"/>
        <v>18.5</v>
      </c>
      <c r="V25" s="3">
        <f t="shared" si="7"/>
        <v>5.55</v>
      </c>
      <c r="W25" s="3">
        <f t="shared" si="8"/>
        <v>24.05</v>
      </c>
      <c r="X25" s="3" t="str">
        <f t="shared" si="9"/>
        <v/>
      </c>
    </row>
    <row r="26" spans="1:24" ht="15" customHeight="1" x14ac:dyDescent="0.2">
      <c r="A26" s="153">
        <v>5</v>
      </c>
      <c r="B26" s="165"/>
      <c r="C26" s="166" t="s">
        <v>276</v>
      </c>
      <c r="D26" s="166"/>
      <c r="E26" s="166" t="s">
        <v>282</v>
      </c>
      <c r="F26" s="166" t="s">
        <v>278</v>
      </c>
      <c r="G26" s="167">
        <v>69.88</v>
      </c>
      <c r="H26" s="167"/>
      <c r="I26" s="167"/>
      <c r="J26" s="153" t="s">
        <v>312</v>
      </c>
      <c r="K26" s="153" t="s">
        <v>168</v>
      </c>
      <c r="L26" s="95">
        <f>VLOOKUP(K26,Reinigungstage!A10:N31,14,FALSE)</f>
        <v>1</v>
      </c>
      <c r="M26" s="95">
        <f t="shared" si="0"/>
        <v>69.88</v>
      </c>
      <c r="N26" s="168">
        <f t="shared" si="1"/>
        <v>0</v>
      </c>
      <c r="O26" s="95">
        <f ca="1">IF('SVS GrundRG'!H61="",0,'SVS GrundRG'!H61)</f>
        <v>0</v>
      </c>
      <c r="P26" s="95">
        <f t="shared" si="2"/>
        <v>0</v>
      </c>
      <c r="Q26" s="95">
        <f t="shared" si="3"/>
        <v>0</v>
      </c>
      <c r="R26" s="95">
        <f t="shared" si="4"/>
        <v>0</v>
      </c>
      <c r="S26" s="3" t="str">
        <f t="shared" si="5"/>
        <v>Leistungswert eintragen</v>
      </c>
      <c r="U26" s="3">
        <f t="shared" si="6"/>
        <v>18.5</v>
      </c>
      <c r="V26" s="3">
        <f t="shared" si="7"/>
        <v>5.55</v>
      </c>
      <c r="W26" s="3">
        <f t="shared" si="8"/>
        <v>24.05</v>
      </c>
      <c r="X26" s="3" t="str">
        <f t="shared" si="9"/>
        <v/>
      </c>
    </row>
    <row r="27" spans="1:24" ht="15" customHeight="1" x14ac:dyDescent="0.2">
      <c r="A27" s="153">
        <v>6</v>
      </c>
      <c r="B27" s="165"/>
      <c r="C27" s="166" t="s">
        <v>276</v>
      </c>
      <c r="D27" s="166"/>
      <c r="E27" s="166" t="s">
        <v>283</v>
      </c>
      <c r="F27" s="166" t="s">
        <v>284</v>
      </c>
      <c r="G27" s="167">
        <v>11.75</v>
      </c>
      <c r="H27" s="167"/>
      <c r="I27" s="167"/>
      <c r="J27" s="153" t="s">
        <v>313</v>
      </c>
      <c r="K27" s="153" t="s">
        <v>168</v>
      </c>
      <c r="L27" s="95">
        <f>VLOOKUP(K27,Reinigungstage!A10:N31,14,FALSE)</f>
        <v>1</v>
      </c>
      <c r="M27" s="95">
        <f t="shared" si="0"/>
        <v>11.75</v>
      </c>
      <c r="N27" s="168">
        <f t="shared" si="1"/>
        <v>0</v>
      </c>
      <c r="O27" s="95">
        <f ca="1">IF('SVS GrundRG'!H61="",0,'SVS GrundRG'!H61)</f>
        <v>0</v>
      </c>
      <c r="P27" s="95">
        <f t="shared" si="2"/>
        <v>0</v>
      </c>
      <c r="Q27" s="95">
        <f t="shared" si="3"/>
        <v>0</v>
      </c>
      <c r="R27" s="95">
        <f t="shared" si="4"/>
        <v>0</v>
      </c>
      <c r="S27" s="3" t="str">
        <f t="shared" si="5"/>
        <v>Leistungswert eintragen</v>
      </c>
      <c r="U27" s="3">
        <f t="shared" si="6"/>
        <v>20</v>
      </c>
      <c r="V27" s="3">
        <f t="shared" si="7"/>
        <v>6</v>
      </c>
      <c r="W27" s="3">
        <f t="shared" si="8"/>
        <v>26</v>
      </c>
      <c r="X27" s="3" t="str">
        <f t="shared" si="9"/>
        <v/>
      </c>
    </row>
    <row r="28" spans="1:24" ht="15" customHeight="1" x14ac:dyDescent="0.2">
      <c r="A28" s="153">
        <v>7</v>
      </c>
      <c r="B28" s="165"/>
      <c r="C28" s="166" t="s">
        <v>276</v>
      </c>
      <c r="D28" s="166"/>
      <c r="E28" s="166" t="s">
        <v>286</v>
      </c>
      <c r="F28" s="166" t="s">
        <v>287</v>
      </c>
      <c r="G28" s="167">
        <v>2.5</v>
      </c>
      <c r="H28" s="167"/>
      <c r="I28" s="167"/>
      <c r="J28" s="153" t="s">
        <v>312</v>
      </c>
      <c r="K28" s="153" t="s">
        <v>168</v>
      </c>
      <c r="L28" s="95">
        <f>VLOOKUP(K28,Reinigungstage!A10:N31,14,FALSE)</f>
        <v>1</v>
      </c>
      <c r="M28" s="95">
        <f t="shared" si="0"/>
        <v>2.5</v>
      </c>
      <c r="N28" s="168">
        <f t="shared" si="1"/>
        <v>0</v>
      </c>
      <c r="O28" s="95">
        <f ca="1">IF('SVS GrundRG'!H61="",0,'SVS GrundRG'!H61)</f>
        <v>0</v>
      </c>
      <c r="P28" s="95">
        <f t="shared" si="2"/>
        <v>0</v>
      </c>
      <c r="Q28" s="95">
        <f t="shared" si="3"/>
        <v>0</v>
      </c>
      <c r="R28" s="95">
        <f t="shared" si="4"/>
        <v>0</v>
      </c>
      <c r="S28" s="3" t="str">
        <f t="shared" si="5"/>
        <v>Leistungswert eintragen</v>
      </c>
      <c r="U28" s="3">
        <f t="shared" si="6"/>
        <v>18.5</v>
      </c>
      <c r="V28" s="3">
        <f t="shared" si="7"/>
        <v>5.55</v>
      </c>
      <c r="W28" s="3">
        <f t="shared" si="8"/>
        <v>24.05</v>
      </c>
      <c r="X28" s="3" t="str">
        <f t="shared" si="9"/>
        <v/>
      </c>
    </row>
    <row r="29" spans="1:24" ht="15" customHeight="1" x14ac:dyDescent="0.2">
      <c r="A29" s="153">
        <v>8</v>
      </c>
      <c r="B29" s="165"/>
      <c r="C29" s="166" t="s">
        <v>276</v>
      </c>
      <c r="D29" s="166"/>
      <c r="E29" s="166" t="s">
        <v>288</v>
      </c>
      <c r="F29" s="166" t="s">
        <v>287</v>
      </c>
      <c r="G29" s="167">
        <v>40.520000000000003</v>
      </c>
      <c r="H29" s="167"/>
      <c r="I29" s="167"/>
      <c r="J29" s="153" t="s">
        <v>313</v>
      </c>
      <c r="K29" s="153" t="s">
        <v>168</v>
      </c>
      <c r="L29" s="95">
        <f>VLOOKUP(K29,Reinigungstage!A10:N31,14,FALSE)</f>
        <v>1</v>
      </c>
      <c r="M29" s="95">
        <f t="shared" si="0"/>
        <v>40.520000000000003</v>
      </c>
      <c r="N29" s="168">
        <f t="shared" si="1"/>
        <v>0</v>
      </c>
      <c r="O29" s="95">
        <f ca="1">IF('SVS GrundRG'!H61="",0,'SVS GrundRG'!H61)</f>
        <v>0</v>
      </c>
      <c r="P29" s="95">
        <f t="shared" si="2"/>
        <v>0</v>
      </c>
      <c r="Q29" s="95">
        <f t="shared" si="3"/>
        <v>0</v>
      </c>
      <c r="R29" s="95">
        <f t="shared" si="4"/>
        <v>0</v>
      </c>
      <c r="S29" s="3" t="str">
        <f t="shared" si="5"/>
        <v>Leistungswert eintragen</v>
      </c>
      <c r="U29" s="3">
        <f t="shared" si="6"/>
        <v>20</v>
      </c>
      <c r="V29" s="3">
        <f t="shared" si="7"/>
        <v>6</v>
      </c>
      <c r="W29" s="3">
        <f t="shared" si="8"/>
        <v>26</v>
      </c>
      <c r="X29" s="3" t="str">
        <f t="shared" si="9"/>
        <v/>
      </c>
    </row>
    <row r="30" spans="1:24" ht="15" customHeight="1" x14ac:dyDescent="0.2">
      <c r="A30" s="153">
        <v>9</v>
      </c>
      <c r="B30" s="165" t="s">
        <v>289</v>
      </c>
      <c r="C30" s="166" t="s">
        <v>276</v>
      </c>
      <c r="D30" s="166" t="s">
        <v>290</v>
      </c>
      <c r="E30" s="166" t="s">
        <v>291</v>
      </c>
      <c r="F30" s="166" t="s">
        <v>287</v>
      </c>
      <c r="G30" s="167">
        <v>14.46</v>
      </c>
      <c r="H30" s="167"/>
      <c r="I30" s="167"/>
      <c r="J30" s="153" t="s">
        <v>291</v>
      </c>
      <c r="K30" s="153" t="s">
        <v>168</v>
      </c>
      <c r="L30" s="95">
        <f>VLOOKUP(K30,Reinigungstage!A10:N31,14,FALSE)</f>
        <v>1</v>
      </c>
      <c r="M30" s="95">
        <f t="shared" si="0"/>
        <v>14.46</v>
      </c>
      <c r="N30" s="168">
        <f t="shared" si="1"/>
        <v>0</v>
      </c>
      <c r="O30" s="95">
        <f ca="1">IF('SVS GrundRG'!H61="",0,'SVS GrundRG'!H61)</f>
        <v>0</v>
      </c>
      <c r="P30" s="95">
        <f t="shared" si="2"/>
        <v>0</v>
      </c>
      <c r="Q30" s="95">
        <f t="shared" si="3"/>
        <v>0</v>
      </c>
      <c r="R30" s="95">
        <f t="shared" si="4"/>
        <v>0</v>
      </c>
      <c r="S30" s="3" t="str">
        <f t="shared" si="5"/>
        <v>Leistungswert eintragen</v>
      </c>
      <c r="U30" s="3">
        <f t="shared" si="6"/>
        <v>15.5</v>
      </c>
      <c r="V30" s="3">
        <f t="shared" si="7"/>
        <v>4.6499999999999995</v>
      </c>
      <c r="W30" s="3">
        <f t="shared" si="8"/>
        <v>20.149999999999999</v>
      </c>
      <c r="X30" s="3" t="str">
        <f t="shared" si="9"/>
        <v/>
      </c>
    </row>
    <row r="31" spans="1:24" ht="15" customHeight="1" x14ac:dyDescent="0.2">
      <c r="A31" s="153">
        <v>10</v>
      </c>
      <c r="B31" s="165"/>
      <c r="C31" s="166" t="s">
        <v>276</v>
      </c>
      <c r="D31" s="166" t="s">
        <v>290</v>
      </c>
      <c r="E31" s="166" t="s">
        <v>292</v>
      </c>
      <c r="F31" s="166" t="s">
        <v>293</v>
      </c>
      <c r="G31" s="167">
        <v>5.4</v>
      </c>
      <c r="H31" s="167"/>
      <c r="I31" s="167"/>
      <c r="J31" s="153" t="s">
        <v>314</v>
      </c>
      <c r="K31" s="153" t="s">
        <v>168</v>
      </c>
      <c r="L31" s="95">
        <f>VLOOKUP(K31,Reinigungstage!A10:N31,14,FALSE)</f>
        <v>1</v>
      </c>
      <c r="M31" s="95">
        <f t="shared" si="0"/>
        <v>5.4</v>
      </c>
      <c r="N31" s="168">
        <f t="shared" si="1"/>
        <v>0</v>
      </c>
      <c r="O31" s="95">
        <f ca="1">IF('SVS GrundRG'!H61="",0,'SVS GrundRG'!H61)</f>
        <v>0</v>
      </c>
      <c r="P31" s="95">
        <f t="shared" si="2"/>
        <v>0</v>
      </c>
      <c r="Q31" s="95">
        <f t="shared" si="3"/>
        <v>0</v>
      </c>
      <c r="R31" s="95">
        <f t="shared" si="4"/>
        <v>0</v>
      </c>
      <c r="S31" s="3" t="str">
        <f t="shared" si="5"/>
        <v>Leistungswert eintragen</v>
      </c>
      <c r="U31" s="3">
        <f t="shared" si="6"/>
        <v>11</v>
      </c>
      <c r="V31" s="3">
        <f t="shared" si="7"/>
        <v>3.3</v>
      </c>
      <c r="W31" s="3">
        <f t="shared" si="8"/>
        <v>14.3</v>
      </c>
      <c r="X31" s="3" t="str">
        <f t="shared" si="9"/>
        <v/>
      </c>
    </row>
    <row r="32" spans="1:24" ht="15" customHeight="1" x14ac:dyDescent="0.2">
      <c r="A32" s="153">
        <v>11</v>
      </c>
      <c r="B32" s="165"/>
      <c r="C32" s="166" t="s">
        <v>276</v>
      </c>
      <c r="D32" s="166" t="s">
        <v>290</v>
      </c>
      <c r="E32" s="166" t="s">
        <v>294</v>
      </c>
      <c r="F32" s="166" t="s">
        <v>293</v>
      </c>
      <c r="G32" s="167">
        <v>18.989999999999998</v>
      </c>
      <c r="H32" s="167"/>
      <c r="I32" s="167"/>
      <c r="J32" s="153" t="s">
        <v>314</v>
      </c>
      <c r="K32" s="153" t="s">
        <v>168</v>
      </c>
      <c r="L32" s="95">
        <f>VLOOKUP(K32,Reinigungstage!A10:N31,14,FALSE)</f>
        <v>1</v>
      </c>
      <c r="M32" s="95">
        <f t="shared" si="0"/>
        <v>18.989999999999998</v>
      </c>
      <c r="N32" s="168">
        <f t="shared" si="1"/>
        <v>0</v>
      </c>
      <c r="O32" s="95">
        <f ca="1">IF('SVS GrundRG'!H61="",0,'SVS GrundRG'!H61)</f>
        <v>0</v>
      </c>
      <c r="P32" s="95">
        <f t="shared" si="2"/>
        <v>0</v>
      </c>
      <c r="Q32" s="95">
        <f t="shared" si="3"/>
        <v>0</v>
      </c>
      <c r="R32" s="95">
        <f t="shared" si="4"/>
        <v>0</v>
      </c>
      <c r="S32" s="3" t="str">
        <f t="shared" si="5"/>
        <v>Leistungswert eintragen</v>
      </c>
      <c r="U32" s="3">
        <f t="shared" si="6"/>
        <v>11</v>
      </c>
      <c r="V32" s="3">
        <f t="shared" si="7"/>
        <v>3.3</v>
      </c>
      <c r="W32" s="3">
        <f t="shared" si="8"/>
        <v>14.3</v>
      </c>
      <c r="X32" s="3" t="str">
        <f t="shared" si="9"/>
        <v/>
      </c>
    </row>
    <row r="33" spans="1:24" ht="15" customHeight="1" x14ac:dyDescent="0.2">
      <c r="A33" s="153">
        <v>12</v>
      </c>
      <c r="B33" s="165"/>
      <c r="C33" s="166" t="s">
        <v>276</v>
      </c>
      <c r="D33" s="166" t="s">
        <v>290</v>
      </c>
      <c r="E33" s="166" t="s">
        <v>295</v>
      </c>
      <c r="F33" s="166" t="s">
        <v>293</v>
      </c>
      <c r="G33" s="167">
        <v>1.83</v>
      </c>
      <c r="H33" s="167"/>
      <c r="I33" s="167"/>
      <c r="J33" s="153" t="s">
        <v>314</v>
      </c>
      <c r="K33" s="153" t="s">
        <v>168</v>
      </c>
      <c r="L33" s="95">
        <f>VLOOKUP(K33,Reinigungstage!A10:N31,14,FALSE)</f>
        <v>1</v>
      </c>
      <c r="M33" s="95">
        <f t="shared" si="0"/>
        <v>1.83</v>
      </c>
      <c r="N33" s="168">
        <f t="shared" si="1"/>
        <v>0</v>
      </c>
      <c r="O33" s="95">
        <f ca="1">IF('SVS GrundRG'!H61="",0,'SVS GrundRG'!H61)</f>
        <v>0</v>
      </c>
      <c r="P33" s="95">
        <f t="shared" si="2"/>
        <v>0</v>
      </c>
      <c r="Q33" s="95">
        <f t="shared" si="3"/>
        <v>0</v>
      </c>
      <c r="R33" s="95">
        <f t="shared" si="4"/>
        <v>0</v>
      </c>
      <c r="S33" s="3" t="str">
        <f t="shared" si="5"/>
        <v>Leistungswert eintragen</v>
      </c>
      <c r="U33" s="3">
        <f t="shared" si="6"/>
        <v>11</v>
      </c>
      <c r="V33" s="3">
        <f t="shared" si="7"/>
        <v>3.3</v>
      </c>
      <c r="W33" s="3">
        <f t="shared" si="8"/>
        <v>14.3</v>
      </c>
      <c r="X33" s="3" t="str">
        <f t="shared" si="9"/>
        <v/>
      </c>
    </row>
    <row r="34" spans="1:24" ht="15" customHeight="1" x14ac:dyDescent="0.2">
      <c r="A34" s="153">
        <v>13</v>
      </c>
      <c r="B34" s="165"/>
      <c r="C34" s="166" t="s">
        <v>276</v>
      </c>
      <c r="D34" s="166" t="s">
        <v>290</v>
      </c>
      <c r="E34" s="166" t="s">
        <v>296</v>
      </c>
      <c r="F34" s="166" t="s">
        <v>293</v>
      </c>
      <c r="G34" s="167">
        <v>3.85</v>
      </c>
      <c r="H34" s="167"/>
      <c r="I34" s="167"/>
      <c r="J34" s="153" t="s">
        <v>314</v>
      </c>
      <c r="K34" s="153" t="s">
        <v>168</v>
      </c>
      <c r="L34" s="95">
        <f>VLOOKUP(K34,Reinigungstage!A10:N31,14,FALSE)</f>
        <v>1</v>
      </c>
      <c r="M34" s="95">
        <f t="shared" si="0"/>
        <v>3.85</v>
      </c>
      <c r="N34" s="168">
        <f t="shared" si="1"/>
        <v>0</v>
      </c>
      <c r="O34" s="95">
        <f ca="1">IF('SVS GrundRG'!H61="",0,'SVS GrundRG'!H61)</f>
        <v>0</v>
      </c>
      <c r="P34" s="95">
        <f t="shared" si="2"/>
        <v>0</v>
      </c>
      <c r="Q34" s="95">
        <f t="shared" si="3"/>
        <v>0</v>
      </c>
      <c r="R34" s="95">
        <f t="shared" si="4"/>
        <v>0</v>
      </c>
      <c r="S34" s="3" t="str">
        <f t="shared" si="5"/>
        <v>Leistungswert eintragen</v>
      </c>
      <c r="U34" s="3">
        <f t="shared" si="6"/>
        <v>11</v>
      </c>
      <c r="V34" s="3">
        <f t="shared" si="7"/>
        <v>3.3</v>
      </c>
      <c r="W34" s="3">
        <f t="shared" si="8"/>
        <v>14.3</v>
      </c>
      <c r="X34" s="3" t="str">
        <f t="shared" si="9"/>
        <v/>
      </c>
    </row>
    <row r="35" spans="1:24" ht="15" customHeight="1" x14ac:dyDescent="0.2">
      <c r="A35" s="153">
        <v>14</v>
      </c>
      <c r="B35" s="165"/>
      <c r="C35" s="166" t="s">
        <v>276</v>
      </c>
      <c r="D35" s="166" t="s">
        <v>290</v>
      </c>
      <c r="E35" s="166" t="s">
        <v>292</v>
      </c>
      <c r="F35" s="166" t="s">
        <v>293</v>
      </c>
      <c r="G35" s="167">
        <v>5.41</v>
      </c>
      <c r="H35" s="167"/>
      <c r="I35" s="167"/>
      <c r="J35" s="153" t="s">
        <v>314</v>
      </c>
      <c r="K35" s="153" t="s">
        <v>168</v>
      </c>
      <c r="L35" s="95">
        <f>VLOOKUP(K35,Reinigungstage!A10:N31,14,FALSE)</f>
        <v>1</v>
      </c>
      <c r="M35" s="95">
        <f t="shared" si="0"/>
        <v>5.41</v>
      </c>
      <c r="N35" s="168">
        <f t="shared" si="1"/>
        <v>0</v>
      </c>
      <c r="O35" s="95">
        <f ca="1">IF('SVS GrundRG'!H61="",0,'SVS GrundRG'!H61)</f>
        <v>0</v>
      </c>
      <c r="P35" s="95">
        <f t="shared" si="2"/>
        <v>0</v>
      </c>
      <c r="Q35" s="95">
        <f t="shared" si="3"/>
        <v>0</v>
      </c>
      <c r="R35" s="95">
        <f t="shared" si="4"/>
        <v>0</v>
      </c>
      <c r="S35" s="3" t="str">
        <f t="shared" si="5"/>
        <v>Leistungswert eintragen</v>
      </c>
      <c r="U35" s="3">
        <f t="shared" si="6"/>
        <v>11</v>
      </c>
      <c r="V35" s="3">
        <f t="shared" si="7"/>
        <v>3.3</v>
      </c>
      <c r="W35" s="3">
        <f t="shared" si="8"/>
        <v>14.3</v>
      </c>
      <c r="X35" s="3" t="str">
        <f t="shared" si="9"/>
        <v/>
      </c>
    </row>
    <row r="36" spans="1:24" ht="15" customHeight="1" x14ac:dyDescent="0.2">
      <c r="A36" s="153">
        <v>15</v>
      </c>
      <c r="B36" s="165" t="s">
        <v>297</v>
      </c>
      <c r="C36" s="166" t="s">
        <v>276</v>
      </c>
      <c r="D36" s="166" t="s">
        <v>290</v>
      </c>
      <c r="E36" s="166" t="s">
        <v>291</v>
      </c>
      <c r="F36" s="166" t="s">
        <v>287</v>
      </c>
      <c r="G36" s="167">
        <v>14.58</v>
      </c>
      <c r="H36" s="167"/>
      <c r="I36" s="167"/>
      <c r="J36" s="153" t="s">
        <v>291</v>
      </c>
      <c r="K36" s="153" t="s">
        <v>168</v>
      </c>
      <c r="L36" s="95">
        <f>VLOOKUP(K36,Reinigungstage!A10:N31,14,FALSE)</f>
        <v>1</v>
      </c>
      <c r="M36" s="95">
        <f t="shared" si="0"/>
        <v>14.58</v>
      </c>
      <c r="N36" s="168">
        <f t="shared" si="1"/>
        <v>0</v>
      </c>
      <c r="O36" s="95">
        <f ca="1">IF('SVS GrundRG'!H61="",0,'SVS GrundRG'!H61)</f>
        <v>0</v>
      </c>
      <c r="P36" s="95">
        <f t="shared" si="2"/>
        <v>0</v>
      </c>
      <c r="Q36" s="95">
        <f t="shared" si="3"/>
        <v>0</v>
      </c>
      <c r="R36" s="95">
        <f t="shared" si="4"/>
        <v>0</v>
      </c>
      <c r="S36" s="3" t="str">
        <f t="shared" si="5"/>
        <v>Leistungswert eintragen</v>
      </c>
      <c r="U36" s="3">
        <f t="shared" si="6"/>
        <v>15.5</v>
      </c>
      <c r="V36" s="3">
        <f t="shared" si="7"/>
        <v>4.6499999999999995</v>
      </c>
      <c r="W36" s="3">
        <f t="shared" si="8"/>
        <v>20.149999999999999</v>
      </c>
      <c r="X36" s="3" t="str">
        <f t="shared" si="9"/>
        <v/>
      </c>
    </row>
    <row r="37" spans="1:24" ht="15" customHeight="1" x14ac:dyDescent="0.2">
      <c r="A37" s="153">
        <v>16</v>
      </c>
      <c r="B37" s="165"/>
      <c r="C37" s="166" t="s">
        <v>276</v>
      </c>
      <c r="D37" s="166" t="s">
        <v>290</v>
      </c>
      <c r="E37" s="166" t="s">
        <v>298</v>
      </c>
      <c r="F37" s="166" t="s">
        <v>287</v>
      </c>
      <c r="G37" s="167">
        <v>6.55</v>
      </c>
      <c r="H37" s="167"/>
      <c r="I37" s="167"/>
      <c r="J37" s="153" t="s">
        <v>291</v>
      </c>
      <c r="K37" s="153" t="s">
        <v>168</v>
      </c>
      <c r="L37" s="95">
        <f>VLOOKUP(K37,Reinigungstage!A10:N31,14,FALSE)</f>
        <v>1</v>
      </c>
      <c r="M37" s="95">
        <f t="shared" si="0"/>
        <v>6.55</v>
      </c>
      <c r="N37" s="168">
        <f t="shared" si="1"/>
        <v>0</v>
      </c>
      <c r="O37" s="95">
        <f ca="1">IF('SVS GrundRG'!H61="",0,'SVS GrundRG'!H61)</f>
        <v>0</v>
      </c>
      <c r="P37" s="95">
        <f t="shared" si="2"/>
        <v>0</v>
      </c>
      <c r="Q37" s="95">
        <f t="shared" si="3"/>
        <v>0</v>
      </c>
      <c r="R37" s="95">
        <f t="shared" si="4"/>
        <v>0</v>
      </c>
      <c r="S37" s="3" t="str">
        <f t="shared" si="5"/>
        <v>Leistungswert eintragen</v>
      </c>
      <c r="U37" s="3">
        <f t="shared" si="6"/>
        <v>15.5</v>
      </c>
      <c r="V37" s="3">
        <f t="shared" si="7"/>
        <v>4.6499999999999995</v>
      </c>
      <c r="W37" s="3">
        <f t="shared" si="8"/>
        <v>20.149999999999999</v>
      </c>
      <c r="X37" s="3" t="str">
        <f t="shared" si="9"/>
        <v/>
      </c>
    </row>
    <row r="38" spans="1:24" ht="15" customHeight="1" x14ac:dyDescent="0.2">
      <c r="A38" s="153">
        <v>17</v>
      </c>
      <c r="B38" s="165"/>
      <c r="C38" s="166" t="s">
        <v>276</v>
      </c>
      <c r="D38" s="166" t="s">
        <v>290</v>
      </c>
      <c r="E38" s="166" t="s">
        <v>299</v>
      </c>
      <c r="F38" s="166" t="s">
        <v>293</v>
      </c>
      <c r="G38" s="167">
        <v>3.69</v>
      </c>
      <c r="H38" s="167"/>
      <c r="I38" s="167"/>
      <c r="J38" s="153" t="s">
        <v>314</v>
      </c>
      <c r="K38" s="153" t="s">
        <v>168</v>
      </c>
      <c r="L38" s="95">
        <f>VLOOKUP(K38,Reinigungstage!A10:N31,14,FALSE)</f>
        <v>1</v>
      </c>
      <c r="M38" s="95">
        <f t="shared" si="0"/>
        <v>3.69</v>
      </c>
      <c r="N38" s="168">
        <f t="shared" si="1"/>
        <v>0</v>
      </c>
      <c r="O38" s="95">
        <f ca="1">IF('SVS GrundRG'!H61="",0,'SVS GrundRG'!H61)</f>
        <v>0</v>
      </c>
      <c r="P38" s="95">
        <f t="shared" si="2"/>
        <v>0</v>
      </c>
      <c r="Q38" s="95">
        <f t="shared" si="3"/>
        <v>0</v>
      </c>
      <c r="R38" s="95">
        <f t="shared" si="4"/>
        <v>0</v>
      </c>
      <c r="S38" s="3" t="str">
        <f t="shared" si="5"/>
        <v>Leistungswert eintragen</v>
      </c>
      <c r="U38" s="3">
        <f t="shared" si="6"/>
        <v>11</v>
      </c>
      <c r="V38" s="3">
        <f t="shared" si="7"/>
        <v>3.3</v>
      </c>
      <c r="W38" s="3">
        <f t="shared" si="8"/>
        <v>14.3</v>
      </c>
      <c r="X38" s="3" t="str">
        <f t="shared" si="9"/>
        <v/>
      </c>
    </row>
    <row r="39" spans="1:24" ht="15" customHeight="1" x14ac:dyDescent="0.2">
      <c r="A39" s="153">
        <v>18</v>
      </c>
      <c r="B39" s="165"/>
      <c r="C39" s="166" t="s">
        <v>276</v>
      </c>
      <c r="D39" s="166" t="s">
        <v>290</v>
      </c>
      <c r="E39" s="166" t="s">
        <v>296</v>
      </c>
      <c r="F39" s="166" t="s">
        <v>293</v>
      </c>
      <c r="G39" s="167">
        <v>4.99</v>
      </c>
      <c r="H39" s="167"/>
      <c r="I39" s="167"/>
      <c r="J39" s="153" t="s">
        <v>314</v>
      </c>
      <c r="K39" s="153" t="s">
        <v>168</v>
      </c>
      <c r="L39" s="95">
        <f>VLOOKUP(K39,Reinigungstage!A10:N31,14,FALSE)</f>
        <v>1</v>
      </c>
      <c r="M39" s="95">
        <f t="shared" si="0"/>
        <v>4.99</v>
      </c>
      <c r="N39" s="168">
        <f t="shared" si="1"/>
        <v>0</v>
      </c>
      <c r="O39" s="95">
        <f ca="1">IF('SVS GrundRG'!H61="",0,'SVS GrundRG'!H61)</f>
        <v>0</v>
      </c>
      <c r="P39" s="95">
        <f t="shared" si="2"/>
        <v>0</v>
      </c>
      <c r="Q39" s="95">
        <f t="shared" si="3"/>
        <v>0</v>
      </c>
      <c r="R39" s="95">
        <f t="shared" si="4"/>
        <v>0</v>
      </c>
      <c r="S39" s="3" t="str">
        <f t="shared" si="5"/>
        <v>Leistungswert eintragen</v>
      </c>
      <c r="U39" s="3">
        <f t="shared" si="6"/>
        <v>11</v>
      </c>
      <c r="V39" s="3">
        <f t="shared" si="7"/>
        <v>3.3</v>
      </c>
      <c r="W39" s="3">
        <f t="shared" si="8"/>
        <v>14.3</v>
      </c>
      <c r="X39" s="3" t="str">
        <f t="shared" si="9"/>
        <v/>
      </c>
    </row>
    <row r="40" spans="1:24" ht="15" customHeight="1" x14ac:dyDescent="0.2">
      <c r="A40" s="153">
        <v>19</v>
      </c>
      <c r="B40" s="165"/>
      <c r="C40" s="166" t="s">
        <v>276</v>
      </c>
      <c r="D40" s="166"/>
      <c r="E40" s="166" t="s">
        <v>300</v>
      </c>
      <c r="F40" s="166" t="s">
        <v>287</v>
      </c>
      <c r="G40" s="167">
        <v>13.2</v>
      </c>
      <c r="H40" s="167"/>
      <c r="I40" s="167"/>
      <c r="J40" s="153" t="s">
        <v>315</v>
      </c>
      <c r="K40" s="153" t="s">
        <v>168</v>
      </c>
      <c r="L40" s="95">
        <f>VLOOKUP(K40,Reinigungstage!A10:N31,14,FALSE)</f>
        <v>1</v>
      </c>
      <c r="M40" s="95">
        <f t="shared" si="0"/>
        <v>13.2</v>
      </c>
      <c r="N40" s="168">
        <f t="shared" si="1"/>
        <v>0</v>
      </c>
      <c r="O40" s="95">
        <f ca="1">IF('SVS GrundRG'!H61="",0,'SVS GrundRG'!H61)</f>
        <v>0</v>
      </c>
      <c r="P40" s="95">
        <f t="shared" si="2"/>
        <v>0</v>
      </c>
      <c r="Q40" s="95">
        <f t="shared" si="3"/>
        <v>0</v>
      </c>
      <c r="R40" s="95">
        <f t="shared" si="4"/>
        <v>0</v>
      </c>
      <c r="S40" s="3" t="str">
        <f t="shared" si="5"/>
        <v>Leistungswert eintragen</v>
      </c>
      <c r="U40" s="3">
        <f t="shared" si="6"/>
        <v>15</v>
      </c>
      <c r="V40" s="3">
        <f t="shared" si="7"/>
        <v>4.5</v>
      </c>
      <c r="W40" s="3">
        <f t="shared" si="8"/>
        <v>19.5</v>
      </c>
      <c r="X40" s="3" t="str">
        <f t="shared" si="9"/>
        <v/>
      </c>
    </row>
    <row r="41" spans="1:24" ht="15" customHeight="1" x14ac:dyDescent="0.2">
      <c r="A41" s="153">
        <v>20</v>
      </c>
      <c r="B41" s="165"/>
      <c r="C41" s="166" t="s">
        <v>276</v>
      </c>
      <c r="D41" s="166" t="s">
        <v>301</v>
      </c>
      <c r="E41" s="166" t="s">
        <v>288</v>
      </c>
      <c r="F41" s="166" t="s">
        <v>287</v>
      </c>
      <c r="G41" s="167">
        <v>31.76</v>
      </c>
      <c r="H41" s="167"/>
      <c r="I41" s="167"/>
      <c r="J41" s="153" t="s">
        <v>313</v>
      </c>
      <c r="K41" s="153" t="s">
        <v>168</v>
      </c>
      <c r="L41" s="95">
        <f>VLOOKUP(K41,Reinigungstage!A10:N31,14,FALSE)</f>
        <v>1</v>
      </c>
      <c r="M41" s="95">
        <f t="shared" si="0"/>
        <v>31.76</v>
      </c>
      <c r="N41" s="168">
        <f t="shared" si="1"/>
        <v>0</v>
      </c>
      <c r="O41" s="95">
        <f ca="1">IF('SVS GrundRG'!H61="",0,'SVS GrundRG'!H61)</f>
        <v>0</v>
      </c>
      <c r="P41" s="95">
        <f t="shared" si="2"/>
        <v>0</v>
      </c>
      <c r="Q41" s="95">
        <f t="shared" si="3"/>
        <v>0</v>
      </c>
      <c r="R41" s="95">
        <f t="shared" si="4"/>
        <v>0</v>
      </c>
      <c r="S41" s="3" t="str">
        <f t="shared" si="5"/>
        <v>Leistungswert eintragen</v>
      </c>
      <c r="U41" s="3">
        <f t="shared" si="6"/>
        <v>20</v>
      </c>
      <c r="V41" s="3">
        <f t="shared" si="7"/>
        <v>6</v>
      </c>
      <c r="W41" s="3">
        <f t="shared" si="8"/>
        <v>26</v>
      </c>
      <c r="X41" s="3" t="str">
        <f t="shared" si="9"/>
        <v/>
      </c>
    </row>
    <row r="42" spans="1:24" ht="15" customHeight="1" x14ac:dyDescent="0.2">
      <c r="A42" s="153">
        <v>21</v>
      </c>
      <c r="B42" s="165"/>
      <c r="C42" s="166" t="s">
        <v>276</v>
      </c>
      <c r="D42" s="166" t="s">
        <v>301</v>
      </c>
      <c r="E42" s="166" t="s">
        <v>298</v>
      </c>
      <c r="F42" s="166" t="s">
        <v>287</v>
      </c>
      <c r="G42" s="167">
        <v>6.57</v>
      </c>
      <c r="H42" s="167"/>
      <c r="I42" s="167"/>
      <c r="J42" s="153" t="s">
        <v>291</v>
      </c>
      <c r="K42" s="153" t="s">
        <v>168</v>
      </c>
      <c r="L42" s="95">
        <f>VLOOKUP(K42,Reinigungstage!A10:N31,14,FALSE)</f>
        <v>1</v>
      </c>
      <c r="M42" s="95">
        <f t="shared" si="0"/>
        <v>6.57</v>
      </c>
      <c r="N42" s="168">
        <f t="shared" si="1"/>
        <v>0</v>
      </c>
      <c r="O42" s="95">
        <f ca="1">IF('SVS GrundRG'!H61="",0,'SVS GrundRG'!H61)</f>
        <v>0</v>
      </c>
      <c r="P42" s="95">
        <f t="shared" si="2"/>
        <v>0</v>
      </c>
      <c r="Q42" s="95">
        <f t="shared" si="3"/>
        <v>0</v>
      </c>
      <c r="R42" s="95">
        <f t="shared" si="4"/>
        <v>0</v>
      </c>
      <c r="S42" s="3" t="str">
        <f t="shared" si="5"/>
        <v>Leistungswert eintragen</v>
      </c>
      <c r="U42" s="3">
        <f t="shared" si="6"/>
        <v>15.5</v>
      </c>
      <c r="V42" s="3">
        <f t="shared" si="7"/>
        <v>4.6499999999999995</v>
      </c>
      <c r="W42" s="3">
        <f t="shared" si="8"/>
        <v>20.149999999999999</v>
      </c>
      <c r="X42" s="3" t="str">
        <f t="shared" si="9"/>
        <v/>
      </c>
    </row>
    <row r="43" spans="1:24" ht="15" customHeight="1" x14ac:dyDescent="0.2">
      <c r="A43" s="153">
        <v>22</v>
      </c>
      <c r="B43" s="165"/>
      <c r="C43" s="166" t="s">
        <v>276</v>
      </c>
      <c r="D43" s="166" t="s">
        <v>301</v>
      </c>
      <c r="E43" s="166" t="s">
        <v>299</v>
      </c>
      <c r="F43" s="166" t="s">
        <v>293</v>
      </c>
      <c r="G43" s="167">
        <v>4.0999999999999996</v>
      </c>
      <c r="H43" s="167"/>
      <c r="I43" s="167"/>
      <c r="J43" s="153" t="s">
        <v>314</v>
      </c>
      <c r="K43" s="153" t="s">
        <v>168</v>
      </c>
      <c r="L43" s="95">
        <f>VLOOKUP(K43,Reinigungstage!A10:N31,14,FALSE)</f>
        <v>1</v>
      </c>
      <c r="M43" s="95">
        <f t="shared" si="0"/>
        <v>4.0999999999999996</v>
      </c>
      <c r="N43" s="168">
        <f t="shared" si="1"/>
        <v>0</v>
      </c>
      <c r="O43" s="95">
        <f ca="1">IF('SVS GrundRG'!H61="",0,'SVS GrundRG'!H61)</f>
        <v>0</v>
      </c>
      <c r="P43" s="95">
        <f t="shared" si="2"/>
        <v>0</v>
      </c>
      <c r="Q43" s="95">
        <f t="shared" si="3"/>
        <v>0</v>
      </c>
      <c r="R43" s="95">
        <f t="shared" si="4"/>
        <v>0</v>
      </c>
      <c r="S43" s="3" t="str">
        <f t="shared" si="5"/>
        <v>Leistungswert eintragen</v>
      </c>
      <c r="U43" s="3">
        <f t="shared" si="6"/>
        <v>11</v>
      </c>
      <c r="V43" s="3">
        <f t="shared" si="7"/>
        <v>3.3</v>
      </c>
      <c r="W43" s="3">
        <f t="shared" si="8"/>
        <v>14.3</v>
      </c>
      <c r="X43" s="3" t="str">
        <f t="shared" si="9"/>
        <v/>
      </c>
    </row>
    <row r="44" spans="1:24" ht="15" customHeight="1" x14ac:dyDescent="0.2">
      <c r="A44" s="153">
        <v>23</v>
      </c>
      <c r="B44" s="165" t="s">
        <v>289</v>
      </c>
      <c r="C44" s="166" t="s">
        <v>276</v>
      </c>
      <c r="D44" s="166" t="s">
        <v>301</v>
      </c>
      <c r="E44" s="166" t="s">
        <v>291</v>
      </c>
      <c r="F44" s="166" t="s">
        <v>287</v>
      </c>
      <c r="G44" s="167">
        <v>14.53</v>
      </c>
      <c r="H44" s="167"/>
      <c r="I44" s="167"/>
      <c r="J44" s="153" t="s">
        <v>291</v>
      </c>
      <c r="K44" s="153" t="s">
        <v>168</v>
      </c>
      <c r="L44" s="95">
        <f>VLOOKUP(K44,Reinigungstage!A10:N31,14,FALSE)</f>
        <v>1</v>
      </c>
      <c r="M44" s="95">
        <f t="shared" si="0"/>
        <v>14.53</v>
      </c>
      <c r="N44" s="168">
        <f t="shared" si="1"/>
        <v>0</v>
      </c>
      <c r="O44" s="95">
        <f ca="1">IF('SVS GrundRG'!H61="",0,'SVS GrundRG'!H61)</f>
        <v>0</v>
      </c>
      <c r="P44" s="95">
        <f t="shared" si="2"/>
        <v>0</v>
      </c>
      <c r="Q44" s="95">
        <f t="shared" si="3"/>
        <v>0</v>
      </c>
      <c r="R44" s="95">
        <f t="shared" si="4"/>
        <v>0</v>
      </c>
      <c r="S44" s="3" t="str">
        <f t="shared" si="5"/>
        <v>Leistungswert eintragen</v>
      </c>
      <c r="U44" s="3">
        <f t="shared" si="6"/>
        <v>15.5</v>
      </c>
      <c r="V44" s="3">
        <f t="shared" si="7"/>
        <v>4.6499999999999995</v>
      </c>
      <c r="W44" s="3">
        <f t="shared" si="8"/>
        <v>20.149999999999999</v>
      </c>
      <c r="X44" s="3" t="str">
        <f t="shared" si="9"/>
        <v/>
      </c>
    </row>
    <row r="45" spans="1:24" ht="15" customHeight="1" x14ac:dyDescent="0.2">
      <c r="A45" s="153">
        <v>24</v>
      </c>
      <c r="B45" s="165"/>
      <c r="C45" s="166" t="s">
        <v>276</v>
      </c>
      <c r="D45" s="166" t="s">
        <v>301</v>
      </c>
      <c r="E45" s="166" t="s">
        <v>292</v>
      </c>
      <c r="F45" s="166" t="s">
        <v>293</v>
      </c>
      <c r="G45" s="167">
        <v>5.59</v>
      </c>
      <c r="H45" s="167"/>
      <c r="I45" s="167"/>
      <c r="J45" s="153" t="s">
        <v>314</v>
      </c>
      <c r="K45" s="153" t="s">
        <v>168</v>
      </c>
      <c r="L45" s="95">
        <f>VLOOKUP(K45,Reinigungstage!A10:N31,14,FALSE)</f>
        <v>1</v>
      </c>
      <c r="M45" s="95">
        <f t="shared" si="0"/>
        <v>5.59</v>
      </c>
      <c r="N45" s="168">
        <f t="shared" si="1"/>
        <v>0</v>
      </c>
      <c r="O45" s="95">
        <f ca="1">IF('SVS GrundRG'!H61="",0,'SVS GrundRG'!H61)</f>
        <v>0</v>
      </c>
      <c r="P45" s="95">
        <f t="shared" si="2"/>
        <v>0</v>
      </c>
      <c r="Q45" s="95">
        <f t="shared" si="3"/>
        <v>0</v>
      </c>
      <c r="R45" s="95">
        <f t="shared" si="4"/>
        <v>0</v>
      </c>
      <c r="S45" s="3" t="str">
        <f t="shared" si="5"/>
        <v>Leistungswert eintragen</v>
      </c>
      <c r="U45" s="3">
        <f t="shared" si="6"/>
        <v>11</v>
      </c>
      <c r="V45" s="3">
        <f t="shared" si="7"/>
        <v>3.3</v>
      </c>
      <c r="W45" s="3">
        <f t="shared" si="8"/>
        <v>14.3</v>
      </c>
      <c r="X45" s="3" t="str">
        <f t="shared" si="9"/>
        <v/>
      </c>
    </row>
    <row r="46" spans="1:24" ht="15" customHeight="1" x14ac:dyDescent="0.2">
      <c r="A46" s="153">
        <v>25</v>
      </c>
      <c r="B46" s="165"/>
      <c r="C46" s="166" t="s">
        <v>276</v>
      </c>
      <c r="D46" s="166" t="s">
        <v>301</v>
      </c>
      <c r="E46" s="166" t="s">
        <v>294</v>
      </c>
      <c r="F46" s="166" t="s">
        <v>293</v>
      </c>
      <c r="G46" s="167">
        <v>18.489999999999998</v>
      </c>
      <c r="H46" s="167"/>
      <c r="I46" s="167"/>
      <c r="J46" s="153" t="s">
        <v>314</v>
      </c>
      <c r="K46" s="153" t="s">
        <v>168</v>
      </c>
      <c r="L46" s="95">
        <f>VLOOKUP(K46,Reinigungstage!A10:N31,14,FALSE)</f>
        <v>1</v>
      </c>
      <c r="M46" s="95">
        <f t="shared" si="0"/>
        <v>18.489999999999998</v>
      </c>
      <c r="N46" s="168">
        <f t="shared" si="1"/>
        <v>0</v>
      </c>
      <c r="O46" s="95">
        <f ca="1">IF('SVS GrundRG'!H61="",0,'SVS GrundRG'!H61)</f>
        <v>0</v>
      </c>
      <c r="P46" s="95">
        <f t="shared" si="2"/>
        <v>0</v>
      </c>
      <c r="Q46" s="95">
        <f t="shared" si="3"/>
        <v>0</v>
      </c>
      <c r="R46" s="95">
        <f t="shared" si="4"/>
        <v>0</v>
      </c>
      <c r="S46" s="3" t="str">
        <f t="shared" si="5"/>
        <v>Leistungswert eintragen</v>
      </c>
      <c r="U46" s="3">
        <f t="shared" si="6"/>
        <v>11</v>
      </c>
      <c r="V46" s="3">
        <f t="shared" si="7"/>
        <v>3.3</v>
      </c>
      <c r="W46" s="3">
        <f t="shared" si="8"/>
        <v>14.3</v>
      </c>
      <c r="X46" s="3" t="str">
        <f t="shared" si="9"/>
        <v/>
      </c>
    </row>
    <row r="47" spans="1:24" ht="15" customHeight="1" x14ac:dyDescent="0.2">
      <c r="A47" s="153">
        <v>26</v>
      </c>
      <c r="B47" s="165"/>
      <c r="C47" s="166" t="s">
        <v>276</v>
      </c>
      <c r="D47" s="166" t="s">
        <v>301</v>
      </c>
      <c r="E47" s="166" t="s">
        <v>296</v>
      </c>
      <c r="F47" s="166" t="s">
        <v>293</v>
      </c>
      <c r="G47" s="167">
        <v>3.9</v>
      </c>
      <c r="H47" s="167"/>
      <c r="I47" s="167"/>
      <c r="J47" s="153" t="s">
        <v>314</v>
      </c>
      <c r="K47" s="153" t="s">
        <v>168</v>
      </c>
      <c r="L47" s="95">
        <f>VLOOKUP(K47,Reinigungstage!A10:N31,14,FALSE)</f>
        <v>1</v>
      </c>
      <c r="M47" s="95">
        <f t="shared" si="0"/>
        <v>3.9</v>
      </c>
      <c r="N47" s="168">
        <f t="shared" si="1"/>
        <v>0</v>
      </c>
      <c r="O47" s="95">
        <f ca="1">IF('SVS GrundRG'!H61="",0,'SVS GrundRG'!H61)</f>
        <v>0</v>
      </c>
      <c r="P47" s="95">
        <f t="shared" si="2"/>
        <v>0</v>
      </c>
      <c r="Q47" s="95">
        <f t="shared" si="3"/>
        <v>0</v>
      </c>
      <c r="R47" s="95">
        <f t="shared" si="4"/>
        <v>0</v>
      </c>
      <c r="S47" s="3" t="str">
        <f t="shared" si="5"/>
        <v>Leistungswert eintragen</v>
      </c>
      <c r="U47" s="3">
        <f t="shared" si="6"/>
        <v>11</v>
      </c>
      <c r="V47" s="3">
        <f t="shared" si="7"/>
        <v>3.3</v>
      </c>
      <c r="W47" s="3">
        <f t="shared" si="8"/>
        <v>14.3</v>
      </c>
      <c r="X47" s="3" t="str">
        <f t="shared" si="9"/>
        <v/>
      </c>
    </row>
    <row r="48" spans="1:24" ht="15" customHeight="1" x14ac:dyDescent="0.2">
      <c r="A48" s="153">
        <v>27</v>
      </c>
      <c r="B48" s="165"/>
      <c r="C48" s="166" t="s">
        <v>276</v>
      </c>
      <c r="D48" s="166" t="s">
        <v>301</v>
      </c>
      <c r="E48" s="166" t="s">
        <v>295</v>
      </c>
      <c r="F48" s="166" t="s">
        <v>293</v>
      </c>
      <c r="G48" s="167">
        <v>1.99</v>
      </c>
      <c r="H48" s="167"/>
      <c r="I48" s="167"/>
      <c r="J48" s="153" t="s">
        <v>314</v>
      </c>
      <c r="K48" s="153" t="s">
        <v>168</v>
      </c>
      <c r="L48" s="95">
        <f>VLOOKUP(K48,Reinigungstage!A10:N31,14,FALSE)</f>
        <v>1</v>
      </c>
      <c r="M48" s="95">
        <f t="shared" si="0"/>
        <v>1.99</v>
      </c>
      <c r="N48" s="168">
        <f t="shared" si="1"/>
        <v>0</v>
      </c>
      <c r="O48" s="95">
        <f ca="1">IF('SVS GrundRG'!H61="",0,'SVS GrundRG'!H61)</f>
        <v>0</v>
      </c>
      <c r="P48" s="95">
        <f t="shared" si="2"/>
        <v>0</v>
      </c>
      <c r="Q48" s="95">
        <f t="shared" si="3"/>
        <v>0</v>
      </c>
      <c r="R48" s="95">
        <f t="shared" si="4"/>
        <v>0</v>
      </c>
      <c r="S48" s="3" t="str">
        <f t="shared" si="5"/>
        <v>Leistungswert eintragen</v>
      </c>
      <c r="U48" s="3">
        <f t="shared" si="6"/>
        <v>11</v>
      </c>
      <c r="V48" s="3">
        <f t="shared" si="7"/>
        <v>3.3</v>
      </c>
      <c r="W48" s="3">
        <f t="shared" si="8"/>
        <v>14.3</v>
      </c>
      <c r="X48" s="3" t="str">
        <f t="shared" si="9"/>
        <v/>
      </c>
    </row>
    <row r="49" spans="1:24" ht="15" customHeight="1" x14ac:dyDescent="0.2">
      <c r="A49" s="153">
        <v>28</v>
      </c>
      <c r="B49" s="165"/>
      <c r="C49" s="166" t="s">
        <v>276</v>
      </c>
      <c r="D49" s="166" t="s">
        <v>301</v>
      </c>
      <c r="E49" s="166" t="s">
        <v>292</v>
      </c>
      <c r="F49" s="166" t="s">
        <v>293</v>
      </c>
      <c r="G49" s="167">
        <v>5.59</v>
      </c>
      <c r="H49" s="167"/>
      <c r="I49" s="167"/>
      <c r="J49" s="153" t="s">
        <v>314</v>
      </c>
      <c r="K49" s="153" t="s">
        <v>168</v>
      </c>
      <c r="L49" s="95">
        <f>VLOOKUP(K49,Reinigungstage!A10:N31,14,FALSE)</f>
        <v>1</v>
      </c>
      <c r="M49" s="95">
        <f t="shared" si="0"/>
        <v>5.59</v>
      </c>
      <c r="N49" s="168">
        <f t="shared" si="1"/>
        <v>0</v>
      </c>
      <c r="O49" s="95">
        <f ca="1">IF('SVS GrundRG'!H61="",0,'SVS GrundRG'!H61)</f>
        <v>0</v>
      </c>
      <c r="P49" s="95">
        <f t="shared" si="2"/>
        <v>0</v>
      </c>
      <c r="Q49" s="95">
        <f t="shared" si="3"/>
        <v>0</v>
      </c>
      <c r="R49" s="95">
        <f t="shared" si="4"/>
        <v>0</v>
      </c>
      <c r="S49" s="3" t="str">
        <f t="shared" si="5"/>
        <v>Leistungswert eintragen</v>
      </c>
      <c r="U49" s="3">
        <f t="shared" si="6"/>
        <v>11</v>
      </c>
      <c r="V49" s="3">
        <f t="shared" si="7"/>
        <v>3.3</v>
      </c>
      <c r="W49" s="3">
        <f t="shared" si="8"/>
        <v>14.3</v>
      </c>
      <c r="X49" s="3" t="str">
        <f t="shared" si="9"/>
        <v/>
      </c>
    </row>
    <row r="50" spans="1:24" ht="15" customHeight="1" x14ac:dyDescent="0.2">
      <c r="A50" s="153">
        <v>29</v>
      </c>
      <c r="B50" s="165" t="s">
        <v>297</v>
      </c>
      <c r="C50" s="166" t="s">
        <v>276</v>
      </c>
      <c r="D50" s="166" t="s">
        <v>301</v>
      </c>
      <c r="E50" s="166" t="s">
        <v>291</v>
      </c>
      <c r="F50" s="166" t="s">
        <v>287</v>
      </c>
      <c r="G50" s="167">
        <v>14.56</v>
      </c>
      <c r="H50" s="167"/>
      <c r="I50" s="167"/>
      <c r="J50" s="153" t="s">
        <v>291</v>
      </c>
      <c r="K50" s="153" t="s">
        <v>168</v>
      </c>
      <c r="L50" s="95">
        <f>VLOOKUP(K50,Reinigungstage!A10:N31,14,FALSE)</f>
        <v>1</v>
      </c>
      <c r="M50" s="95">
        <f t="shared" si="0"/>
        <v>14.56</v>
      </c>
      <c r="N50" s="168">
        <f t="shared" si="1"/>
        <v>0</v>
      </c>
      <c r="O50" s="95">
        <f ca="1">IF('SVS GrundRG'!H61="",0,'SVS GrundRG'!H61)</f>
        <v>0</v>
      </c>
      <c r="P50" s="95">
        <f t="shared" si="2"/>
        <v>0</v>
      </c>
      <c r="Q50" s="95">
        <f t="shared" si="3"/>
        <v>0</v>
      </c>
      <c r="R50" s="95">
        <f t="shared" si="4"/>
        <v>0</v>
      </c>
      <c r="S50" s="3" t="str">
        <f t="shared" si="5"/>
        <v>Leistungswert eintragen</v>
      </c>
      <c r="U50" s="3">
        <f t="shared" si="6"/>
        <v>15.5</v>
      </c>
      <c r="V50" s="3">
        <f t="shared" si="7"/>
        <v>4.6499999999999995</v>
      </c>
      <c r="W50" s="3">
        <f t="shared" si="8"/>
        <v>20.149999999999999</v>
      </c>
      <c r="X50" s="3" t="str">
        <f t="shared" si="9"/>
        <v/>
      </c>
    </row>
    <row r="51" spans="1:24" ht="15" customHeight="1" x14ac:dyDescent="0.2">
      <c r="A51" s="153">
        <v>30</v>
      </c>
      <c r="B51" s="165"/>
      <c r="C51" s="166" t="s">
        <v>276</v>
      </c>
      <c r="D51" s="166"/>
      <c r="E51" s="166" t="s">
        <v>302</v>
      </c>
      <c r="F51" s="166" t="s">
        <v>303</v>
      </c>
      <c r="G51" s="167">
        <v>10.09</v>
      </c>
      <c r="H51" s="167"/>
      <c r="I51" s="167"/>
      <c r="J51" s="153" t="s">
        <v>312</v>
      </c>
      <c r="K51" s="153" t="s">
        <v>168</v>
      </c>
      <c r="L51" s="95">
        <f>VLOOKUP(K51,Reinigungstage!A10:N31,14,FALSE)</f>
        <v>1</v>
      </c>
      <c r="M51" s="95">
        <f t="shared" si="0"/>
        <v>10.09</v>
      </c>
      <c r="N51" s="168">
        <f t="shared" si="1"/>
        <v>0</v>
      </c>
      <c r="O51" s="95">
        <f ca="1">IF('SVS GrundRG'!H61="",0,'SVS GrundRG'!H61)</f>
        <v>0</v>
      </c>
      <c r="P51" s="95">
        <f t="shared" si="2"/>
        <v>0</v>
      </c>
      <c r="Q51" s="95">
        <f t="shared" si="3"/>
        <v>0</v>
      </c>
      <c r="R51" s="95">
        <f t="shared" si="4"/>
        <v>0</v>
      </c>
      <c r="S51" s="3" t="str">
        <f t="shared" si="5"/>
        <v>Leistungswert eintragen</v>
      </c>
      <c r="U51" s="3">
        <f t="shared" si="6"/>
        <v>18.5</v>
      </c>
      <c r="V51" s="3">
        <f t="shared" si="7"/>
        <v>5.55</v>
      </c>
      <c r="W51" s="3">
        <f t="shared" si="8"/>
        <v>24.05</v>
      </c>
      <c r="X51" s="3" t="str">
        <f t="shared" si="9"/>
        <v/>
      </c>
    </row>
    <row r="52" spans="1:24" ht="15" customHeight="1" x14ac:dyDescent="0.2">
      <c r="A52" s="153">
        <v>31</v>
      </c>
      <c r="B52" s="165"/>
      <c r="C52" s="166" t="s">
        <v>276</v>
      </c>
      <c r="D52" s="166" t="s">
        <v>301</v>
      </c>
      <c r="E52" s="166" t="s">
        <v>295</v>
      </c>
      <c r="F52" s="166" t="s">
        <v>293</v>
      </c>
      <c r="G52" s="167">
        <v>3.37</v>
      </c>
      <c r="H52" s="167"/>
      <c r="I52" s="167"/>
      <c r="J52" s="153" t="s">
        <v>314</v>
      </c>
      <c r="K52" s="153" t="s">
        <v>168</v>
      </c>
      <c r="L52" s="95">
        <f>VLOOKUP(K52,Reinigungstage!A10:N31,14,FALSE)</f>
        <v>1</v>
      </c>
      <c r="M52" s="95">
        <f t="shared" si="0"/>
        <v>3.37</v>
      </c>
      <c r="N52" s="168">
        <f t="shared" si="1"/>
        <v>0</v>
      </c>
      <c r="O52" s="95">
        <f ca="1">IF('SVS GrundRG'!H61="",0,'SVS GrundRG'!H61)</f>
        <v>0</v>
      </c>
      <c r="P52" s="95">
        <f t="shared" si="2"/>
        <v>0</v>
      </c>
      <c r="Q52" s="95">
        <f t="shared" si="3"/>
        <v>0</v>
      </c>
      <c r="R52" s="95">
        <f t="shared" si="4"/>
        <v>0</v>
      </c>
      <c r="S52" s="3" t="str">
        <f t="shared" si="5"/>
        <v>Leistungswert eintragen</v>
      </c>
      <c r="U52" s="3">
        <f t="shared" si="6"/>
        <v>11</v>
      </c>
      <c r="V52" s="3">
        <f t="shared" si="7"/>
        <v>3.3</v>
      </c>
      <c r="W52" s="3">
        <f t="shared" si="8"/>
        <v>14.3</v>
      </c>
      <c r="X52" s="3" t="str">
        <f t="shared" si="9"/>
        <v/>
      </c>
    </row>
    <row r="53" spans="1:24" ht="15" customHeight="1" x14ac:dyDescent="0.2">
      <c r="A53" s="153">
        <v>32</v>
      </c>
      <c r="B53" s="165"/>
      <c r="C53" s="166" t="s">
        <v>306</v>
      </c>
      <c r="D53" s="166"/>
      <c r="E53" s="166" t="s">
        <v>307</v>
      </c>
      <c r="F53" s="166" t="s">
        <v>287</v>
      </c>
      <c r="G53" s="167">
        <v>157.68</v>
      </c>
      <c r="H53" s="167"/>
      <c r="I53" s="167"/>
      <c r="J53" s="153" t="s">
        <v>315</v>
      </c>
      <c r="K53" s="153" t="s">
        <v>168</v>
      </c>
      <c r="L53" s="95">
        <f>VLOOKUP(K53,Reinigungstage!A10:N31,14,FALSE)</f>
        <v>1</v>
      </c>
      <c r="M53" s="95">
        <f t="shared" si="0"/>
        <v>157.68</v>
      </c>
      <c r="N53" s="168">
        <f t="shared" si="1"/>
        <v>0</v>
      </c>
      <c r="O53" s="95">
        <f ca="1">IF('SVS GrundRG'!H61="",0,'SVS GrundRG'!H61)</f>
        <v>0</v>
      </c>
      <c r="P53" s="95">
        <f t="shared" si="2"/>
        <v>0</v>
      </c>
      <c r="Q53" s="95">
        <f t="shared" si="3"/>
        <v>0</v>
      </c>
      <c r="R53" s="95">
        <f t="shared" si="4"/>
        <v>0</v>
      </c>
      <c r="S53" s="3" t="str">
        <f t="shared" si="5"/>
        <v>Leistungswert eintragen</v>
      </c>
      <c r="U53" s="3">
        <f t="shared" si="6"/>
        <v>15</v>
      </c>
      <c r="V53" s="3">
        <f t="shared" si="7"/>
        <v>4.5</v>
      </c>
      <c r="W53" s="3">
        <f t="shared" si="8"/>
        <v>19.5</v>
      </c>
      <c r="X53" s="3" t="str">
        <f t="shared" si="9"/>
        <v/>
      </c>
    </row>
    <row r="54" spans="1:24" ht="21" x14ac:dyDescent="0.2">
      <c r="A54" s="153">
        <v>33</v>
      </c>
      <c r="B54" s="165"/>
      <c r="C54" s="166" t="s">
        <v>306</v>
      </c>
      <c r="D54" s="166" t="s">
        <v>652</v>
      </c>
      <c r="E54" s="166" t="s">
        <v>308</v>
      </c>
      <c r="F54" s="166" t="s">
        <v>284</v>
      </c>
      <c r="G54" s="167">
        <v>11.7</v>
      </c>
      <c r="H54" s="167"/>
      <c r="I54" s="167"/>
      <c r="J54" s="153" t="s">
        <v>312</v>
      </c>
      <c r="K54" s="153" t="s">
        <v>168</v>
      </c>
      <c r="L54" s="95">
        <f>VLOOKUP(K54,Reinigungstage!A10:N31,14,FALSE)</f>
        <v>1</v>
      </c>
      <c r="M54" s="95">
        <f t="shared" si="0"/>
        <v>11.7</v>
      </c>
      <c r="N54" s="168">
        <f t="shared" si="1"/>
        <v>0</v>
      </c>
      <c r="O54" s="95">
        <f ca="1">IF('SVS GrundRG'!H61="",0,'SVS GrundRG'!H61)</f>
        <v>0</v>
      </c>
      <c r="P54" s="95">
        <f t="shared" si="2"/>
        <v>0</v>
      </c>
      <c r="Q54" s="95">
        <f t="shared" si="3"/>
        <v>0</v>
      </c>
      <c r="R54" s="95">
        <f t="shared" si="4"/>
        <v>0</v>
      </c>
      <c r="S54" s="3" t="str">
        <f t="shared" si="5"/>
        <v>Leistungswert eintragen</v>
      </c>
      <c r="U54" s="3">
        <f t="shared" si="6"/>
        <v>18.5</v>
      </c>
      <c r="V54" s="3">
        <f t="shared" si="7"/>
        <v>5.55</v>
      </c>
      <c r="W54" s="3">
        <f t="shared" si="8"/>
        <v>24.05</v>
      </c>
      <c r="X54" s="3" t="str">
        <f t="shared" si="9"/>
        <v/>
      </c>
    </row>
    <row r="55" spans="1:24" ht="15" customHeight="1" x14ac:dyDescent="0.2">
      <c r="A55" s="153">
        <v>34</v>
      </c>
      <c r="B55" s="165"/>
      <c r="C55" s="166" t="s">
        <v>306</v>
      </c>
      <c r="D55" s="166"/>
      <c r="E55" s="166" t="s">
        <v>309</v>
      </c>
      <c r="F55" s="166" t="s">
        <v>287</v>
      </c>
      <c r="G55" s="167">
        <v>10.25</v>
      </c>
      <c r="H55" s="167"/>
      <c r="I55" s="167"/>
      <c r="J55" s="153" t="s">
        <v>310</v>
      </c>
      <c r="K55" s="153" t="s">
        <v>168</v>
      </c>
      <c r="L55" s="95">
        <f>VLOOKUP(K55,Reinigungstage!A10:N31,14,FALSE)</f>
        <v>1</v>
      </c>
      <c r="M55" s="95">
        <f t="shared" si="0"/>
        <v>10.25</v>
      </c>
      <c r="N55" s="168">
        <f t="shared" si="1"/>
        <v>0</v>
      </c>
      <c r="O55" s="95">
        <f ca="1">IF('SVS GrundRG'!H61="",0,'SVS GrundRG'!H61)</f>
        <v>0</v>
      </c>
      <c r="P55" s="95">
        <f t="shared" si="2"/>
        <v>0</v>
      </c>
      <c r="Q55" s="95">
        <f t="shared" si="3"/>
        <v>0</v>
      </c>
      <c r="R55" s="95">
        <f t="shared" si="4"/>
        <v>0</v>
      </c>
      <c r="S55" s="3" t="str">
        <f t="shared" si="5"/>
        <v>Leistungswert eintragen</v>
      </c>
      <c r="U55" s="3">
        <f t="shared" si="6"/>
        <v>16.5</v>
      </c>
      <c r="V55" s="3">
        <f t="shared" si="7"/>
        <v>4.95</v>
      </c>
      <c r="W55" s="3">
        <f t="shared" si="8"/>
        <v>21.45</v>
      </c>
      <c r="X55" s="3" t="str">
        <f t="shared" si="9"/>
        <v/>
      </c>
    </row>
    <row r="56" spans="1:24" ht="15" customHeight="1" x14ac:dyDescent="0.2">
      <c r="A56" s="153">
        <v>35</v>
      </c>
      <c r="B56" s="165"/>
      <c r="C56" s="166" t="s">
        <v>306</v>
      </c>
      <c r="D56" s="166"/>
      <c r="E56" s="166" t="s">
        <v>310</v>
      </c>
      <c r="F56" s="166" t="s">
        <v>284</v>
      </c>
      <c r="G56" s="167">
        <v>5.8</v>
      </c>
      <c r="H56" s="167"/>
      <c r="I56" s="167"/>
      <c r="J56" s="153" t="s">
        <v>310</v>
      </c>
      <c r="K56" s="153" t="s">
        <v>168</v>
      </c>
      <c r="L56" s="95">
        <f>VLOOKUP(K56,Reinigungstage!A10:N31,14,FALSE)</f>
        <v>1</v>
      </c>
      <c r="M56" s="95">
        <f t="shared" si="0"/>
        <v>5.8</v>
      </c>
      <c r="N56" s="168">
        <f t="shared" si="1"/>
        <v>0</v>
      </c>
      <c r="O56" s="95">
        <f ca="1">IF('SVS GrundRG'!H61="",0,'SVS GrundRG'!H61)</f>
        <v>0</v>
      </c>
      <c r="P56" s="95">
        <f t="shared" si="2"/>
        <v>0</v>
      </c>
      <c r="Q56" s="95">
        <f t="shared" si="3"/>
        <v>0</v>
      </c>
      <c r="R56" s="95">
        <f t="shared" si="4"/>
        <v>0</v>
      </c>
      <c r="S56" s="3" t="str">
        <f t="shared" si="5"/>
        <v>Leistungswert eintragen</v>
      </c>
      <c r="U56" s="3">
        <f t="shared" si="6"/>
        <v>16.5</v>
      </c>
      <c r="V56" s="3">
        <f t="shared" si="7"/>
        <v>4.95</v>
      </c>
      <c r="W56" s="3">
        <f t="shared" si="8"/>
        <v>21.45</v>
      </c>
      <c r="X56" s="3" t="str">
        <f t="shared" si="9"/>
        <v/>
      </c>
    </row>
  </sheetData>
  <sheetProtection algorithmName="SHA-512" hashValue="NHFIYcCTlAyhgQUksAQ2y0mz0K1aB3REy0e7jbtPY4qtD5La7ZLSboBhbsaASQXbsRtZb9IBWFFMaogiQBAbiA==" saltValue="QuYJzhDtJRqqM9Bf8sa5WA==" spinCount="100000" sheet="1" objects="1" scenarios="1"/>
  <sortState xmlns:xlrd2="http://schemas.microsoft.com/office/spreadsheetml/2017/richdata2" ref="U4:U10">
    <sortCondition ref="U4"/>
  </sortState>
  <mergeCells count="16">
    <mergeCell ref="B13:E13"/>
    <mergeCell ref="B4:E5"/>
    <mergeCell ref="B6:E6"/>
    <mergeCell ref="B7:E7"/>
    <mergeCell ref="B8:E8"/>
    <mergeCell ref="B9:E9"/>
    <mergeCell ref="B10:E10"/>
    <mergeCell ref="B11:E11"/>
    <mergeCell ref="B12:E12"/>
    <mergeCell ref="N2:Q5"/>
    <mergeCell ref="A4:A5"/>
    <mergeCell ref="A2:E2"/>
    <mergeCell ref="G2:G3"/>
    <mergeCell ref="H2:H3"/>
    <mergeCell ref="I2:I3"/>
    <mergeCell ref="J2:J3"/>
  </mergeCells>
  <conditionalFormatting sqref="L8">
    <cfRule type="containsText" dxfId="180" priority="6" operator="containsText" text="Ihre Eintragungen der Leistungswerte liegen weit über den Erfahrungswerten aus der Preisschätzung.">
      <formula>NOT(ISERROR(SEARCH("Ihre Eintragungen der Leistungswerte liegen weit über den Erfahrungswerten aus der Preisschätzung.",L8)))</formula>
    </cfRule>
  </conditionalFormatting>
  <conditionalFormatting sqref="L9">
    <cfRule type="containsText" dxfId="179" priority="5" operator="containsText" text="Bitte prüfen Sie diese.">
      <formula>NOT(ISERROR(SEARCH("Bitte prüfen Sie diese.",L9)))</formula>
    </cfRule>
  </conditionalFormatting>
  <conditionalFormatting sqref="L10">
    <cfRule type="containsText" dxfId="178" priority="4" operator="containsText" text="Beachten Sie, dass Sie frei in der Kalkulation dieser Leistungswerte sind und wir durch den Hinweis">
      <formula>NOT(ISERROR(SEARCH("Beachten Sie, dass Sie frei in der Kalkulation dieser Leistungswerte sind und wir durch den Hinweis",L10)))</formula>
    </cfRule>
  </conditionalFormatting>
  <conditionalFormatting sqref="L11">
    <cfRule type="containsText" dxfId="177" priority="3" operator="containsText" text="lediglich Fehleingaben vermeiden wollen.">
      <formula>NOT(ISERROR(SEARCH("lediglich Fehleingaben vermeiden wollen.",L11)))</formula>
    </cfRule>
  </conditionalFormatting>
  <conditionalFormatting sqref="M11">
    <cfRule type="containsText" dxfId="176" priority="7" operator="containsText" text="Es sind Leistungsrichtwerte (LRW) für jede Reinigungsgruppe festgelegt.">
      <formula>NOT(ISERROR(SEARCH("Es sind Leistungsrichtwerte (LRW) für jede Reinigungsgruppe festgelegt.",M11)))</formula>
    </cfRule>
  </conditionalFormatting>
  <conditionalFormatting sqref="N13">
    <cfRule type="expression" dxfId="175" priority="2" stopIfTrue="1">
      <formula>N13=0</formula>
    </cfRule>
  </conditionalFormatting>
  <conditionalFormatting sqref="N14">
    <cfRule type="expression" dxfId="174" priority="1">
      <formula>N14=0</formula>
    </cfRule>
  </conditionalFormatting>
  <conditionalFormatting sqref="N22:N56">
    <cfRule type="expression" dxfId="173" priority="10">
      <formula>X22=0</formula>
    </cfRule>
    <cfRule type="expression" dxfId="172" priority="11" stopIfTrue="1">
      <formula>X22=1</formula>
    </cfRule>
  </conditionalFormatting>
  <conditionalFormatting sqref="O13">
    <cfRule type="containsText" dxfId="171" priority="9" stopIfTrue="1" operator="containsText" text="Wert(e) überschritten, bitte mit dem Angebot plausibel darlegen.">
      <formula>NOT(ISERROR(SEARCH("Wert(e) überschritten, bitte mit dem Angebot plausibel darlegen.",O13)))</formula>
    </cfRule>
  </conditionalFormatting>
  <conditionalFormatting sqref="O14">
    <cfRule type="containsText" dxfId="170" priority="8" operator="containsText" text="Wert(e) prüfen.">
      <formula>NOT(ISERROR(SEARCH("Wert(e) prüfen.",O14)))</formula>
    </cfRule>
  </conditionalFormatting>
  <conditionalFormatting sqref="S22:S56">
    <cfRule type="containsText" dxfId="169" priority="12" stopIfTrue="1" operator="containsText" text="SVS prüfen">
      <formula>NOT(ISERROR(SEARCH("SVS prüfen",S22)))</formula>
    </cfRule>
    <cfRule type="containsText" dxfId="168" priority="13" stopIfTrue="1" operator="containsText" text="Leistungswert eintragen">
      <formula>NOT(ISERROR(SEARCH("Leistungswert eintragen",S22)))</formula>
    </cfRule>
  </conditionalFormatting>
  <hyperlinks>
    <hyperlink ref="M1" location="Inhaltsverzeichnis!A1" display="Zurück zum Inhaltsverzeichnis" xr:uid="{ABCCB87F-C5BC-4C2A-BCE6-02BAC7F60B4A}"/>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&amp;RKal Grund Bremmel TH&amp;LStadt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12</xdr:col>
                    <xdr:colOff>0</xdr:colOff>
                    <xdr:row>1</xdr:row>
                    <xdr:rowOff>0</xdr:rowOff>
                  </from>
                  <to>
                    <xdr:col>13</xdr:col>
                    <xdr:colOff>0</xdr:colOff>
                    <xdr:row>1</xdr:row>
                    <xdr:rowOff>228600</xdr:rowOff>
                  </to>
                </anchor>
              </controlPr>
            </control>
          </mc:Choice>
        </mc:AlternateContent>
        <mc:AlternateContent xmlns:mc="http://schemas.openxmlformats.org/markup-compatibility/2006">
          <mc:Choice Requires="x14">
            <control shapeId="101378" r:id="rId5" name="Check Box 2">
              <controlPr defaultSize="0" autoFill="0" autoLine="0" autoPict="0" altText="Hinweis 2">
                <anchor moveWithCells="1">
                  <from>
                    <xdr:col>12</xdr:col>
                    <xdr:colOff>0</xdr:colOff>
                    <xdr:row>1</xdr:row>
                    <xdr:rowOff>238125</xdr:rowOff>
                  </from>
                  <to>
                    <xdr:col>13</xdr:col>
                    <xdr:colOff>0</xdr:colOff>
                    <xdr:row>2</xdr:row>
                    <xdr:rowOff>209550</xdr:rowOff>
                  </to>
                </anchor>
              </controlPr>
            </control>
          </mc:Choice>
        </mc:AlternateContent>
        <mc:AlternateContent xmlns:mc="http://schemas.openxmlformats.org/markup-compatibility/2006">
          <mc:Choice Requires="x14">
            <control shapeId="101379" r:id="rId6" name="Check Box 3">
              <controlPr defaultSize="0" autoFill="0" autoLine="0" autoPict="0" altText="Hinweis 3">
                <anchor moveWithCells="1">
                  <from>
                    <xdr:col>12</xdr:col>
                    <xdr:colOff>0</xdr:colOff>
                    <xdr:row>2</xdr:row>
                    <xdr:rowOff>219075</xdr:rowOff>
                  </from>
                  <to>
                    <xdr:col>13</xdr:col>
                    <xdr:colOff>0</xdr:colOff>
                    <xdr:row>3</xdr:row>
                    <xdr:rowOff>142875</xdr:rowOff>
                  </to>
                </anchor>
              </controlPr>
            </control>
          </mc:Choice>
        </mc:AlternateContent>
        <mc:AlternateContent xmlns:mc="http://schemas.openxmlformats.org/markup-compatibility/2006">
          <mc:Choice Requires="x14">
            <control shapeId="101380" r:id="rId7" name="Check Box 4">
              <controlPr defaultSize="0" autoFill="0" autoLine="0" autoPict="0" altText="Hinweis 3">
                <anchor moveWithCells="1">
                  <from>
                    <xdr:col>12</xdr:col>
                    <xdr:colOff>0</xdr:colOff>
                    <xdr:row>3</xdr:row>
                    <xdr:rowOff>152400</xdr:rowOff>
                  </from>
                  <to>
                    <xdr:col>13</xdr:col>
                    <xdr:colOff>0</xdr:colOff>
                    <xdr:row>4</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7F086-EFCE-4EEE-8BA4-71E82A19FAF2}">
  <sheetPr codeName="Tabelle31">
    <tabColor indexed="40"/>
  </sheetPr>
  <dimension ref="A1:U106"/>
  <sheetViews>
    <sheetView showGridLines="0" zoomScaleNormal="100" workbookViewId="0">
      <pane ySplit="21" topLeftCell="A22" activePane="bottomLeft" state="frozen"/>
      <selection pane="bottomLeft"/>
    </sheetView>
  </sheetViews>
  <sheetFormatPr baseColWidth="10" defaultColWidth="0" defaultRowHeight="15" customHeight="1" x14ac:dyDescent="0.2"/>
  <cols>
    <col min="1" max="1" width="11.7109375" style="3" customWidth="1"/>
    <col min="2" max="2" width="7.7109375" style="3" customWidth="1"/>
    <col min="3" max="3" width="5.7109375" style="3" customWidth="1"/>
    <col min="4" max="4" width="8.28515625" style="3" customWidth="1"/>
    <col min="5" max="5" width="21.7109375" style="3" customWidth="1"/>
    <col min="6" max="6" width="14.7109375" style="3" customWidth="1"/>
    <col min="7" max="7" width="10.7109375" style="3" customWidth="1"/>
    <col min="8" max="8" width="9.7109375" style="3" customWidth="1"/>
    <col min="9" max="9" width="11.7109375" style="3" customWidth="1"/>
    <col min="10" max="10" width="10.5703125" style="3" bestFit="1" customWidth="1"/>
    <col min="11" max="11" width="7.85546875" style="3" customWidth="1"/>
    <col min="12" max="12" width="8.7109375" style="3" customWidth="1"/>
    <col min="13" max="13" width="12.140625" style="3" customWidth="1"/>
    <col min="14" max="14" width="9.42578125" style="3" customWidth="1"/>
    <col min="15" max="15" width="8.42578125" style="3" customWidth="1"/>
    <col min="16" max="17" width="11.42578125" style="3" customWidth="1"/>
    <col min="18" max="19" width="11.28515625" style="3" customWidth="1"/>
    <col min="20" max="20" width="22.28515625" style="3" customWidth="1"/>
    <col min="21" max="21" width="0" style="3" hidden="1" customWidth="1"/>
    <col min="22" max="16384" width="11.42578125" style="3" hidden="1"/>
  </cols>
  <sheetData>
    <row r="1" spans="1:21" ht="15" customHeight="1" x14ac:dyDescent="0.2">
      <c r="M1" s="5" t="s">
        <v>100</v>
      </c>
    </row>
    <row r="2" spans="1:21" ht="21" customHeight="1" x14ac:dyDescent="0.2">
      <c r="A2" s="217" t="s">
        <v>177</v>
      </c>
      <c r="B2" s="218"/>
      <c r="C2" s="218"/>
      <c r="D2" s="218" t="b">
        <v>0</v>
      </c>
      <c r="E2" s="219"/>
      <c r="G2" s="220" t="s">
        <v>190</v>
      </c>
      <c r="H2" s="220" t="s">
        <v>182</v>
      </c>
      <c r="I2" s="220" t="s">
        <v>183</v>
      </c>
      <c r="J2" s="220" t="s">
        <v>202</v>
      </c>
      <c r="M2" s="23" t="b">
        <v>0</v>
      </c>
      <c r="N2" s="192" t="str">
        <f>IF(M2=TRUE,"Bitte tragen Sie Ihre Leistungswerte in die gelben Zellen direkt unter der Zelle Leistungswerte (m²/h) ein. Die Leistungswerte werden automatisch in die untere Kalkulation übernommen. Die linke Tabelle ist lediglich eine Ausfüllhilfe.",IF(M3=TRUE,"Wenn eine Jahresreinigungsfläche für eine Reinigungsgruppe mit 0 angegeben ist, brauchen Sie den Leistungswert nicht auszufüllen. Es schadet aber nichts, wenn Sie es trotzdem tun.",IF(M4=TRUE,"Sie können in der Kalkulationstabelle (unten) in jedem einzelnen Raum die Leistungswerte (gelbe Zellen) beliebig oft individuell anpassen. Mit dem individuellen Überschreiben wird die Verknüpfung zu den Leistungswerten in der obigen Tabelle aufgehoben.",IF( M5=TRUE,"Die rot markierten Informationen sind auch lediglich eine Unterstützung. Sie erscheinen, wenn gelbe Zellen in dieser Tabelle oder in den Stundenverrechnungssätzen (SVS) nicht ausgefüllt sind. Wenn keine rote Schrift mehr da ist, ist alles vollständig.",""))))</f>
        <v/>
      </c>
      <c r="O2" s="192"/>
      <c r="P2" s="192"/>
      <c r="Q2" s="192"/>
    </row>
    <row r="3" spans="1:21" ht="21" customHeight="1" x14ac:dyDescent="0.2">
      <c r="A3" s="154" t="s">
        <v>178</v>
      </c>
      <c r="B3" s="155"/>
      <c r="C3" s="155"/>
      <c r="D3" s="155"/>
      <c r="E3" s="156"/>
      <c r="G3" s="221"/>
      <c r="H3" s="221" t="b">
        <v>0</v>
      </c>
      <c r="I3" s="221"/>
      <c r="J3" s="221"/>
      <c r="M3" s="23" t="b">
        <v>0</v>
      </c>
      <c r="N3" s="192"/>
      <c r="O3" s="192"/>
      <c r="P3" s="192"/>
      <c r="Q3" s="192"/>
    </row>
    <row r="4" spans="1:21" ht="15" customHeight="1" x14ac:dyDescent="0.2">
      <c r="A4" s="215" t="s">
        <v>91</v>
      </c>
      <c r="B4" s="225" t="str">
        <f>IF(Inhaltsverzeichnis!C3="","",Inhaltsverzeichnis!C3)</f>
        <v/>
      </c>
      <c r="C4" s="226"/>
      <c r="D4" s="226"/>
      <c r="E4" s="227"/>
      <c r="G4" s="153" t="s">
        <v>402</v>
      </c>
      <c r="H4" s="157"/>
      <c r="I4" s="158">
        <f ca="1">SUMIF('Kal Unter Grundschule'!J22:M106,$G$4,'Kal Unter Grundschule'!M22:M106)</f>
        <v>17087.84</v>
      </c>
      <c r="J4" s="118">
        <f>COUNTIFS('Kal Unter Grundschule'!J22:M106,$G$4)</f>
        <v>5</v>
      </c>
      <c r="M4" s="23" t="b">
        <v>0</v>
      </c>
      <c r="N4" s="192"/>
      <c r="O4" s="192"/>
      <c r="P4" s="192"/>
      <c r="Q4" s="192"/>
      <c r="U4" s="153" t="s">
        <v>402</v>
      </c>
    </row>
    <row r="5" spans="1:21" ht="15" customHeight="1" x14ac:dyDescent="0.2">
      <c r="A5" s="216"/>
      <c r="B5" s="228"/>
      <c r="C5" s="229"/>
      <c r="D5" s="229"/>
      <c r="E5" s="230"/>
      <c r="G5" s="153" t="s">
        <v>315</v>
      </c>
      <c r="H5" s="157"/>
      <c r="I5" s="158">
        <f ca="1">SUMIF('Kal Unter Grundschule'!J22:M106,$G$5,'Kal Unter Grundschule'!M22:M106)</f>
        <v>22751.43</v>
      </c>
      <c r="J5" s="118">
        <f>COUNTIFS('Kal Unter Grundschule'!J22:M106,$G$5)</f>
        <v>6</v>
      </c>
      <c r="M5" s="23" t="b">
        <v>0</v>
      </c>
      <c r="N5" s="192"/>
      <c r="O5" s="192"/>
      <c r="P5" s="192"/>
      <c r="Q5" s="192"/>
      <c r="U5" s="153" t="s">
        <v>315</v>
      </c>
    </row>
    <row r="6" spans="1:21" ht="15" customHeight="1" x14ac:dyDescent="0.2">
      <c r="A6" s="159" t="s">
        <v>200</v>
      </c>
      <c r="B6" s="231" t="s">
        <v>245</v>
      </c>
      <c r="C6" s="232"/>
      <c r="D6" s="232"/>
      <c r="E6" s="233"/>
      <c r="G6" s="153" t="s">
        <v>403</v>
      </c>
      <c r="H6" s="157"/>
      <c r="I6" s="158">
        <f ca="1">SUMIF('Kal Unter Grundschule'!J22:M106,$G$6,'Kal Unter Grundschule'!M22:M106)</f>
        <v>27614.980000000003</v>
      </c>
      <c r="J6" s="118">
        <f>COUNTIFS('Kal Unter Grundschule'!J22:M106,$G$6)</f>
        <v>3</v>
      </c>
      <c r="U6" s="153" t="s">
        <v>403</v>
      </c>
    </row>
    <row r="7" spans="1:21" ht="15" customHeight="1" x14ac:dyDescent="0.2">
      <c r="A7" s="160" t="s">
        <v>198</v>
      </c>
      <c r="B7" s="234" t="s">
        <v>250</v>
      </c>
      <c r="C7" s="232"/>
      <c r="D7" s="232"/>
      <c r="E7" s="233"/>
      <c r="G7" s="153" t="s">
        <v>314</v>
      </c>
      <c r="H7" s="157"/>
      <c r="I7" s="158">
        <f ca="1">SUMIF('Kal Unter Grundschule'!J22:M106,$G$7,'Kal Unter Grundschule'!M22:M106)</f>
        <v>13399.239999999998</v>
      </c>
      <c r="J7" s="118">
        <f>COUNTIFS('Kal Unter Grundschule'!J22:M106,$G$7)</f>
        <v>5</v>
      </c>
      <c r="U7" s="153" t="s">
        <v>314</v>
      </c>
    </row>
    <row r="8" spans="1:21" ht="15" customHeight="1" x14ac:dyDescent="0.2">
      <c r="A8" s="160" t="s">
        <v>199</v>
      </c>
      <c r="B8" s="231"/>
      <c r="C8" s="232"/>
      <c r="D8" s="232"/>
      <c r="E8" s="233"/>
      <c r="G8" s="153" t="s">
        <v>312</v>
      </c>
      <c r="H8" s="157"/>
      <c r="I8" s="158">
        <f ca="1">SUMIF('Kal Unter Grundschule'!J22:M106,$G$8,'Kal Unter Grundschule'!M22:M106)</f>
        <v>782.31999999999982</v>
      </c>
      <c r="J8" s="118">
        <f>COUNTIFS('Kal Unter Grundschule'!J22:M106,$G$8)</f>
        <v>10</v>
      </c>
      <c r="U8" s="153" t="s">
        <v>312</v>
      </c>
    </row>
    <row r="9" spans="1:21" ht="15" customHeight="1" x14ac:dyDescent="0.2">
      <c r="A9" s="159" t="s">
        <v>197</v>
      </c>
      <c r="B9" s="235" t="s">
        <v>250</v>
      </c>
      <c r="C9" s="232"/>
      <c r="D9" s="232"/>
      <c r="E9" s="233"/>
      <c r="G9" s="153" t="s">
        <v>310</v>
      </c>
      <c r="H9" s="157"/>
      <c r="I9" s="158">
        <f ca="1">SUMIF('Kal Unter Grundschule'!J22:M106,$G$9,'Kal Unter Grundschule'!M22:M106)</f>
        <v>18895.98</v>
      </c>
      <c r="J9" s="118">
        <f>COUNTIFS('Kal Unter Grundschule'!J22:M106,$G$9)</f>
        <v>14</v>
      </c>
      <c r="U9" s="153" t="s">
        <v>310</v>
      </c>
    </row>
    <row r="10" spans="1:21" ht="15" customHeight="1" x14ac:dyDescent="0.2">
      <c r="A10" s="160" t="s">
        <v>179</v>
      </c>
      <c r="B10" s="231" t="s">
        <v>251</v>
      </c>
      <c r="C10" s="232"/>
      <c r="D10" s="232"/>
      <c r="E10" s="233"/>
      <c r="G10" s="153" t="s">
        <v>291</v>
      </c>
      <c r="H10" s="157"/>
      <c r="I10" s="158">
        <f ca="1">SUMIF('Kal Unter Grundschule'!J22:M106,$G$10,'Kal Unter Grundschule'!M22:M106)</f>
        <v>13463.94</v>
      </c>
      <c r="J10" s="118">
        <f>COUNTIFS('Kal Unter Grundschule'!J22:M106,$G$10)</f>
        <v>5</v>
      </c>
      <c r="U10" s="153" t="s">
        <v>291</v>
      </c>
    </row>
    <row r="11" spans="1:21" ht="15" customHeight="1" x14ac:dyDescent="0.2">
      <c r="A11" s="160" t="s">
        <v>180</v>
      </c>
      <c r="B11" s="236" t="s">
        <v>248</v>
      </c>
      <c r="C11" s="232"/>
      <c r="D11" s="232"/>
      <c r="E11" s="233"/>
      <c r="G11" s="153" t="s">
        <v>401</v>
      </c>
      <c r="H11" s="157"/>
      <c r="I11" s="158">
        <f ca="1">SUMIF('Kal Unter Grundschule'!J22:M106,$G$11,'Kal Unter Grundschule'!M22:M106)</f>
        <v>131588.17000000001</v>
      </c>
      <c r="J11" s="118">
        <f>COUNTIFS('Kal Unter Grundschule'!J22:M106,$G$11)</f>
        <v>19</v>
      </c>
      <c r="U11" s="153" t="s">
        <v>401</v>
      </c>
    </row>
    <row r="12" spans="1:21" ht="15" customHeight="1" x14ac:dyDescent="0.2">
      <c r="A12" s="160" t="s">
        <v>181</v>
      </c>
      <c r="B12" s="231" t="s">
        <v>249</v>
      </c>
      <c r="C12" s="232"/>
      <c r="D12" s="232"/>
      <c r="E12" s="233"/>
      <c r="G12" s="153" t="s">
        <v>313</v>
      </c>
      <c r="H12" s="157"/>
      <c r="I12" s="158">
        <f ca="1">SUMIF('Kal Unter Grundschule'!J22:M106,$G$12,'Kal Unter Grundschule'!M22:M106)</f>
        <v>106095.66</v>
      </c>
      <c r="J12" s="118">
        <f>COUNTIFS('Kal Unter Grundschule'!J22:M106,$G$12)</f>
        <v>17</v>
      </c>
      <c r="U12" s="153" t="s">
        <v>313</v>
      </c>
    </row>
    <row r="13" spans="1:21" ht="15" customHeight="1" x14ac:dyDescent="0.2">
      <c r="A13" s="160" t="s">
        <v>184</v>
      </c>
      <c r="B13" s="222" t="str">
        <f>HYPERLINK("http://maps.google.de/maps?hl=de&amp;bav=on.2,or.r_qf.&amp;bvm=bv.44770516,d.Yms&amp;biw=1395&amp;bih=916&amp;um=1&amp;ie=UTF-8&amp;q="&amp;B7&amp;"+"&amp;B8&amp;"+"&amp;B10&amp;"+"&amp;B11&amp;"+"&amp;B12&amp;"","In Google-Maps anzeigen (wenn Internet verfügbar)")</f>
        <v>In Google-Maps anzeigen (wenn Internet verfügbar)</v>
      </c>
      <c r="C13" s="223"/>
      <c r="D13" s="223"/>
      <c r="E13" s="224"/>
      <c r="G13" s="153" t="s">
        <v>404</v>
      </c>
      <c r="H13" s="157"/>
      <c r="I13" s="158">
        <f ca="1">SUMIF('Kal Unter Grundschule'!J22:M106,$G$13,'Kal Unter Grundschule'!M22:M106)</f>
        <v>18412.52</v>
      </c>
      <c r="J13" s="118">
        <f>COUNTIFS('Kal Unter Grundschule'!J22:M106,$G$13)</f>
        <v>1</v>
      </c>
      <c r="U13" s="153" t="s">
        <v>404</v>
      </c>
    </row>
    <row r="14" spans="1:21" ht="15" customHeight="1" x14ac:dyDescent="0.2">
      <c r="T14" s="161">
        <f>IF(COUNTA($T$22:$T$106)-COUNTBLANK($T$22:$T$106)=0,"",COUNTA($T$22:$T$106)-COUNTBLANK($T$22:$T$106))</f>
        <v>81</v>
      </c>
    </row>
    <row r="15" spans="1:21" ht="15" hidden="1" customHeight="1" x14ac:dyDescent="0.2"/>
    <row r="16" spans="1:21" ht="15" hidden="1" customHeight="1" x14ac:dyDescent="0.2"/>
    <row r="17" spans="1:21" ht="15" hidden="1" customHeight="1" x14ac:dyDescent="0.2"/>
    <row r="18" spans="1:21" ht="15" hidden="1" customHeight="1" x14ac:dyDescent="0.2"/>
    <row r="19" spans="1:21" ht="15" hidden="1" customHeight="1" x14ac:dyDescent="0.2"/>
    <row r="20" spans="1:21" ht="45" customHeight="1" x14ac:dyDescent="0.2">
      <c r="A20" s="1" t="s">
        <v>92</v>
      </c>
      <c r="B20" s="1" t="s">
        <v>97</v>
      </c>
      <c r="C20" s="1" t="s">
        <v>93</v>
      </c>
      <c r="D20" s="1" t="s">
        <v>94</v>
      </c>
      <c r="E20" s="1" t="s">
        <v>98</v>
      </c>
      <c r="F20" s="1" t="s">
        <v>95</v>
      </c>
      <c r="G20" s="1" t="s">
        <v>121</v>
      </c>
      <c r="H20" s="1" t="s">
        <v>108</v>
      </c>
      <c r="I20" s="1" t="s">
        <v>109</v>
      </c>
      <c r="J20" s="1" t="s">
        <v>99</v>
      </c>
      <c r="K20" s="1" t="s">
        <v>106</v>
      </c>
      <c r="L20" s="1" t="s">
        <v>141</v>
      </c>
      <c r="M20" s="1" t="s">
        <v>111</v>
      </c>
      <c r="N20" s="1" t="s">
        <v>107</v>
      </c>
      <c r="O20" s="1" t="s">
        <v>112</v>
      </c>
      <c r="P20" s="1" t="s">
        <v>113</v>
      </c>
      <c r="Q20" s="1" t="s">
        <v>114</v>
      </c>
      <c r="R20" s="1" t="s">
        <v>201</v>
      </c>
      <c r="S20" s="1" t="s">
        <v>140</v>
      </c>
    </row>
    <row r="21" spans="1:21" ht="29.1" customHeight="1" x14ac:dyDescent="0.2">
      <c r="A21" s="162" t="s">
        <v>125</v>
      </c>
      <c r="B21" s="14"/>
      <c r="C21" s="14"/>
      <c r="D21" s="14"/>
      <c r="E21" s="14"/>
      <c r="F21" s="14"/>
      <c r="G21" s="163">
        <f>SUM($G$22:$G$106)</f>
        <v>2233.2299999999996</v>
      </c>
      <c r="H21" s="163">
        <f>SUM($H$22:$H$106)</f>
        <v>36.72</v>
      </c>
      <c r="I21" s="163">
        <f>SUM($I$22:$I$106)</f>
        <v>3</v>
      </c>
      <c r="J21" s="95"/>
      <c r="K21" s="95"/>
      <c r="L21" s="164">
        <f>MAX(L22:L106)</f>
        <v>190.33</v>
      </c>
      <c r="M21" s="163">
        <f>SUM($M$22:$M$106)</f>
        <v>370092.0799999999</v>
      </c>
      <c r="N21" s="95"/>
      <c r="O21" s="95"/>
      <c r="P21" s="163">
        <f>SUM($P$22:$P$106)</f>
        <v>0</v>
      </c>
      <c r="Q21" s="163">
        <f ca="1">SUM($Q$22:$Q$106)</f>
        <v>0</v>
      </c>
      <c r="R21" s="163">
        <f>ROUND(IF(L21=0,0,P21/L21),2)</f>
        <v>0</v>
      </c>
      <c r="S21" s="163">
        <f ca="1">ROUND(IF(L21=0,0,Q21/L21),2)</f>
        <v>0</v>
      </c>
    </row>
    <row r="22" spans="1:21" ht="15" customHeight="1" x14ac:dyDescent="0.2">
      <c r="A22" s="153">
        <v>1</v>
      </c>
      <c r="B22" s="165"/>
      <c r="C22" s="166" t="s">
        <v>316</v>
      </c>
      <c r="D22" s="166" t="s">
        <v>317</v>
      </c>
      <c r="E22" s="166" t="s">
        <v>318</v>
      </c>
      <c r="F22" s="166" t="s">
        <v>319</v>
      </c>
      <c r="G22" s="167">
        <v>0</v>
      </c>
      <c r="H22" s="167"/>
      <c r="I22" s="167"/>
      <c r="J22" s="153" t="s">
        <v>312</v>
      </c>
      <c r="K22" s="167">
        <v>0</v>
      </c>
      <c r="L22" s="95">
        <f>VLOOKUP(K22,Reinigungstage!A10:C31,3,FALSE)</f>
        <v>0</v>
      </c>
      <c r="M22" s="95">
        <f t="shared" ref="M22:M53" si="0">ROUND(IF(L22=0,0,L22*G22),2)</f>
        <v>0</v>
      </c>
      <c r="N22" s="168">
        <f t="shared" ref="N22:N53" si="1">VLOOKUP(J22,$G$4:$H$13,2,FALSE)</f>
        <v>0</v>
      </c>
      <c r="O22" s="95">
        <f ca="1">IF('SVS UnterhaltsRG'!H61="",0,'SVS UnterhaltsRG'!H61)</f>
        <v>0</v>
      </c>
      <c r="P22" s="95">
        <f t="shared" ref="P22:P53" si="2">ROUND(IF(N22=0,0,M22/N22),2)</f>
        <v>0</v>
      </c>
      <c r="Q22" s="95">
        <f t="shared" ref="Q22:Q53" si="3">IF(M22=0,0,IF(O22="",0,ROUND(P22*O22,2)))</f>
        <v>0</v>
      </c>
      <c r="R22" s="95">
        <f t="shared" ref="R22:R53" si="4">ROUND(IF(P22=0,0,P22/L22),2)</f>
        <v>0</v>
      </c>
      <c r="S22" s="95">
        <f t="shared" ref="S22:S53" si="5">ROUND(IF(Q22=0,0,Q22/L22),2)</f>
        <v>0</v>
      </c>
      <c r="T22" s="3" t="str">
        <f t="shared" ref="T22:T53" si="6">IF(M22=0,"",IF(N22=0,"Leistungswert eintragen",IF(O22=0,"SVS prüfen","")))</f>
        <v/>
      </c>
      <c r="U22" s="3">
        <f t="shared" ref="U22:U53" si="7">VLOOKUP(J22,$U$4:$V$13,2,FALSE)</f>
        <v>0</v>
      </c>
    </row>
    <row r="23" spans="1:21" ht="15" customHeight="1" x14ac:dyDescent="0.2">
      <c r="A23" s="153">
        <v>2</v>
      </c>
      <c r="B23" s="165"/>
      <c r="C23" s="166" t="s">
        <v>316</v>
      </c>
      <c r="D23" s="166" t="s">
        <v>317</v>
      </c>
      <c r="E23" s="166" t="s">
        <v>310</v>
      </c>
      <c r="F23" s="166" t="s">
        <v>280</v>
      </c>
      <c r="G23" s="167">
        <v>8.25</v>
      </c>
      <c r="H23" s="167"/>
      <c r="I23" s="167"/>
      <c r="J23" s="153" t="s">
        <v>310</v>
      </c>
      <c r="K23" s="167">
        <v>0</v>
      </c>
      <c r="L23" s="95">
        <f>VLOOKUP(K23,Reinigungstage!A10:C31,3,FALSE)</f>
        <v>0</v>
      </c>
      <c r="M23" s="95">
        <f t="shared" si="0"/>
        <v>0</v>
      </c>
      <c r="N23" s="168">
        <f t="shared" si="1"/>
        <v>0</v>
      </c>
      <c r="O23" s="95">
        <f ca="1">IF('SVS UnterhaltsRG'!H61="",0,'SVS UnterhaltsRG'!H61)</f>
        <v>0</v>
      </c>
      <c r="P23" s="95">
        <f t="shared" si="2"/>
        <v>0</v>
      </c>
      <c r="Q23" s="95">
        <f t="shared" si="3"/>
        <v>0</v>
      </c>
      <c r="R23" s="95">
        <f t="shared" si="4"/>
        <v>0</v>
      </c>
      <c r="S23" s="95">
        <f t="shared" si="5"/>
        <v>0</v>
      </c>
      <c r="T23" s="3" t="str">
        <f t="shared" si="6"/>
        <v/>
      </c>
      <c r="U23" s="3">
        <f t="shared" si="7"/>
        <v>0</v>
      </c>
    </row>
    <row r="24" spans="1:21" ht="15" customHeight="1" x14ac:dyDescent="0.2">
      <c r="A24" s="153">
        <v>3</v>
      </c>
      <c r="B24" s="165" t="s">
        <v>9</v>
      </c>
      <c r="C24" s="166" t="s">
        <v>306</v>
      </c>
      <c r="D24" s="166" t="s">
        <v>317</v>
      </c>
      <c r="E24" s="166" t="s">
        <v>291</v>
      </c>
      <c r="F24" s="166" t="s">
        <v>287</v>
      </c>
      <c r="G24" s="167">
        <v>12.99</v>
      </c>
      <c r="H24" s="167"/>
      <c r="I24" s="167"/>
      <c r="J24" s="153" t="s">
        <v>291</v>
      </c>
      <c r="K24" s="167">
        <v>5</v>
      </c>
      <c r="L24" s="95">
        <f>VLOOKUP(K24,Reinigungstage!A10:C31,3,FALSE)</f>
        <v>190.33</v>
      </c>
      <c r="M24" s="95">
        <f t="shared" si="0"/>
        <v>2472.39</v>
      </c>
      <c r="N24" s="168">
        <f t="shared" si="1"/>
        <v>0</v>
      </c>
      <c r="O24" s="95">
        <f ca="1">IF('SVS UnterhaltsRG'!H61="",0,'SVS UnterhaltsRG'!H61)</f>
        <v>0</v>
      </c>
      <c r="P24" s="95">
        <f t="shared" si="2"/>
        <v>0</v>
      </c>
      <c r="Q24" s="95">
        <f t="shared" ca="1" si="3"/>
        <v>0</v>
      </c>
      <c r="R24" s="95">
        <f t="shared" si="4"/>
        <v>0</v>
      </c>
      <c r="S24" s="95">
        <f t="shared" ca="1" si="5"/>
        <v>0</v>
      </c>
      <c r="T24" s="3" t="str">
        <f t="shared" si="6"/>
        <v>Leistungswert eintragen</v>
      </c>
      <c r="U24" s="3">
        <f t="shared" si="7"/>
        <v>0</v>
      </c>
    </row>
    <row r="25" spans="1:21" ht="15" customHeight="1" x14ac:dyDescent="0.2">
      <c r="A25" s="153">
        <v>4</v>
      </c>
      <c r="B25" s="165" t="s">
        <v>7</v>
      </c>
      <c r="C25" s="166" t="s">
        <v>306</v>
      </c>
      <c r="D25" s="166" t="s">
        <v>317</v>
      </c>
      <c r="E25" s="166" t="s">
        <v>320</v>
      </c>
      <c r="F25" s="166" t="s">
        <v>287</v>
      </c>
      <c r="G25" s="167">
        <v>54.26</v>
      </c>
      <c r="H25" s="167"/>
      <c r="I25" s="167"/>
      <c r="J25" s="153" t="s">
        <v>401</v>
      </c>
      <c r="K25" s="167">
        <v>5</v>
      </c>
      <c r="L25" s="95">
        <f>VLOOKUP(K25,Reinigungstage!A10:C31,3,FALSE)</f>
        <v>190.33</v>
      </c>
      <c r="M25" s="95">
        <f t="shared" si="0"/>
        <v>10327.31</v>
      </c>
      <c r="N25" s="168">
        <f t="shared" si="1"/>
        <v>0</v>
      </c>
      <c r="O25" s="95">
        <f ca="1">IF('SVS UnterhaltsRG'!H61="",0,'SVS UnterhaltsRG'!H61)</f>
        <v>0</v>
      </c>
      <c r="P25" s="95">
        <f t="shared" si="2"/>
        <v>0</v>
      </c>
      <c r="Q25" s="95">
        <f t="shared" ca="1" si="3"/>
        <v>0</v>
      </c>
      <c r="R25" s="95">
        <f t="shared" si="4"/>
        <v>0</v>
      </c>
      <c r="S25" s="95">
        <f t="shared" ca="1" si="5"/>
        <v>0</v>
      </c>
      <c r="T25" s="3" t="str">
        <f t="shared" si="6"/>
        <v>Leistungswert eintragen</v>
      </c>
      <c r="U25" s="3">
        <f t="shared" si="7"/>
        <v>0</v>
      </c>
    </row>
    <row r="26" spans="1:21" ht="15" customHeight="1" x14ac:dyDescent="0.2">
      <c r="A26" s="153">
        <v>5</v>
      </c>
      <c r="B26" s="165" t="s">
        <v>11</v>
      </c>
      <c r="C26" s="166" t="s">
        <v>306</v>
      </c>
      <c r="D26" s="166" t="s">
        <v>317</v>
      </c>
      <c r="E26" s="166" t="s">
        <v>320</v>
      </c>
      <c r="F26" s="166" t="s">
        <v>287</v>
      </c>
      <c r="G26" s="167">
        <v>54.98</v>
      </c>
      <c r="H26" s="167"/>
      <c r="I26" s="167"/>
      <c r="J26" s="153" t="s">
        <v>401</v>
      </c>
      <c r="K26" s="167">
        <v>5</v>
      </c>
      <c r="L26" s="95">
        <f>VLOOKUP(K26,Reinigungstage!A10:C31,3,FALSE)</f>
        <v>190.33</v>
      </c>
      <c r="M26" s="95">
        <f t="shared" si="0"/>
        <v>10464.34</v>
      </c>
      <c r="N26" s="168">
        <f t="shared" si="1"/>
        <v>0</v>
      </c>
      <c r="O26" s="95">
        <f ca="1">IF('SVS UnterhaltsRG'!H61="",0,'SVS UnterhaltsRG'!H61)</f>
        <v>0</v>
      </c>
      <c r="P26" s="95">
        <f t="shared" si="2"/>
        <v>0</v>
      </c>
      <c r="Q26" s="95">
        <f t="shared" ca="1" si="3"/>
        <v>0</v>
      </c>
      <c r="R26" s="95">
        <f t="shared" si="4"/>
        <v>0</v>
      </c>
      <c r="S26" s="95">
        <f t="shared" ca="1" si="5"/>
        <v>0</v>
      </c>
      <c r="T26" s="3" t="str">
        <f t="shared" si="6"/>
        <v>Leistungswert eintragen</v>
      </c>
      <c r="U26" s="3">
        <f t="shared" si="7"/>
        <v>0</v>
      </c>
    </row>
    <row r="27" spans="1:21" ht="15" customHeight="1" x14ac:dyDescent="0.2">
      <c r="A27" s="153">
        <v>6</v>
      </c>
      <c r="B27" s="165" t="s">
        <v>13</v>
      </c>
      <c r="C27" s="166" t="s">
        <v>306</v>
      </c>
      <c r="D27" s="166" t="s">
        <v>317</v>
      </c>
      <c r="E27" s="166" t="s">
        <v>321</v>
      </c>
      <c r="F27" s="166" t="s">
        <v>287</v>
      </c>
      <c r="G27" s="167">
        <v>33.200000000000003</v>
      </c>
      <c r="H27" s="167"/>
      <c r="I27" s="167"/>
      <c r="J27" s="153" t="s">
        <v>401</v>
      </c>
      <c r="K27" s="167">
        <v>1</v>
      </c>
      <c r="L27" s="95">
        <f>VLOOKUP(K27,Reinigungstage!A10:C31,3,FALSE)</f>
        <v>39.54</v>
      </c>
      <c r="M27" s="95">
        <f t="shared" si="0"/>
        <v>1312.73</v>
      </c>
      <c r="N27" s="168">
        <f t="shared" si="1"/>
        <v>0</v>
      </c>
      <c r="O27" s="95">
        <f ca="1">IF('SVS UnterhaltsRG'!H61="",0,'SVS UnterhaltsRG'!H61)</f>
        <v>0</v>
      </c>
      <c r="P27" s="95">
        <f t="shared" si="2"/>
        <v>0</v>
      </c>
      <c r="Q27" s="95">
        <f t="shared" ca="1" si="3"/>
        <v>0</v>
      </c>
      <c r="R27" s="95">
        <f t="shared" si="4"/>
        <v>0</v>
      </c>
      <c r="S27" s="95">
        <f t="shared" ca="1" si="5"/>
        <v>0</v>
      </c>
      <c r="T27" s="3" t="str">
        <f t="shared" si="6"/>
        <v>Leistungswert eintragen</v>
      </c>
      <c r="U27" s="3">
        <f t="shared" si="7"/>
        <v>0</v>
      </c>
    </row>
    <row r="28" spans="1:21" ht="15" customHeight="1" x14ac:dyDescent="0.2">
      <c r="A28" s="153">
        <v>7</v>
      </c>
      <c r="B28" s="165" t="s">
        <v>15</v>
      </c>
      <c r="C28" s="166" t="s">
        <v>306</v>
      </c>
      <c r="D28" s="166" t="s">
        <v>317</v>
      </c>
      <c r="E28" s="166" t="s">
        <v>320</v>
      </c>
      <c r="F28" s="166" t="s">
        <v>287</v>
      </c>
      <c r="G28" s="167">
        <v>55.07</v>
      </c>
      <c r="H28" s="167"/>
      <c r="I28" s="167"/>
      <c r="J28" s="153" t="s">
        <v>401</v>
      </c>
      <c r="K28" s="167">
        <v>5</v>
      </c>
      <c r="L28" s="95">
        <f>VLOOKUP(K28,Reinigungstage!A10:C31,3,FALSE)</f>
        <v>190.33</v>
      </c>
      <c r="M28" s="95">
        <f t="shared" si="0"/>
        <v>10481.469999999999</v>
      </c>
      <c r="N28" s="168">
        <f t="shared" si="1"/>
        <v>0</v>
      </c>
      <c r="O28" s="95">
        <f ca="1">IF('SVS UnterhaltsRG'!H61="",0,'SVS UnterhaltsRG'!H61)</f>
        <v>0</v>
      </c>
      <c r="P28" s="95">
        <f t="shared" si="2"/>
        <v>0</v>
      </c>
      <c r="Q28" s="95">
        <f t="shared" ca="1" si="3"/>
        <v>0</v>
      </c>
      <c r="R28" s="95">
        <f t="shared" si="4"/>
        <v>0</v>
      </c>
      <c r="S28" s="95">
        <f t="shared" ca="1" si="5"/>
        <v>0</v>
      </c>
      <c r="T28" s="3" t="str">
        <f t="shared" si="6"/>
        <v>Leistungswert eintragen</v>
      </c>
      <c r="U28" s="3">
        <f t="shared" si="7"/>
        <v>0</v>
      </c>
    </row>
    <row r="29" spans="1:21" ht="15" customHeight="1" x14ac:dyDescent="0.2">
      <c r="A29" s="153">
        <v>8</v>
      </c>
      <c r="B29" s="165" t="s">
        <v>322</v>
      </c>
      <c r="C29" s="166" t="s">
        <v>306</v>
      </c>
      <c r="D29" s="166" t="s">
        <v>317</v>
      </c>
      <c r="E29" s="166" t="s">
        <v>320</v>
      </c>
      <c r="F29" s="166" t="s">
        <v>287</v>
      </c>
      <c r="G29" s="167">
        <v>52.8</v>
      </c>
      <c r="H29" s="167"/>
      <c r="I29" s="167"/>
      <c r="J29" s="153" t="s">
        <v>401</v>
      </c>
      <c r="K29" s="167">
        <v>5</v>
      </c>
      <c r="L29" s="95">
        <f>VLOOKUP(K29,Reinigungstage!A10:C31,3,FALSE)</f>
        <v>190.33</v>
      </c>
      <c r="M29" s="95">
        <f t="shared" si="0"/>
        <v>10049.42</v>
      </c>
      <c r="N29" s="168">
        <f t="shared" si="1"/>
        <v>0</v>
      </c>
      <c r="O29" s="95">
        <f ca="1">IF('SVS UnterhaltsRG'!H61="",0,'SVS UnterhaltsRG'!H61)</f>
        <v>0</v>
      </c>
      <c r="P29" s="95">
        <f t="shared" si="2"/>
        <v>0</v>
      </c>
      <c r="Q29" s="95">
        <f t="shared" ca="1" si="3"/>
        <v>0</v>
      </c>
      <c r="R29" s="95">
        <f t="shared" si="4"/>
        <v>0</v>
      </c>
      <c r="S29" s="95">
        <f t="shared" ca="1" si="5"/>
        <v>0</v>
      </c>
      <c r="T29" s="3" t="str">
        <f t="shared" si="6"/>
        <v>Leistungswert eintragen</v>
      </c>
      <c r="U29" s="3">
        <f t="shared" si="7"/>
        <v>0</v>
      </c>
    </row>
    <row r="30" spans="1:21" ht="15" customHeight="1" x14ac:dyDescent="0.2">
      <c r="A30" s="153">
        <v>9</v>
      </c>
      <c r="B30" s="165" t="s">
        <v>17</v>
      </c>
      <c r="C30" s="166" t="s">
        <v>306</v>
      </c>
      <c r="D30" s="166" t="s">
        <v>317</v>
      </c>
      <c r="E30" s="166" t="s">
        <v>288</v>
      </c>
      <c r="F30" s="166" t="s">
        <v>287</v>
      </c>
      <c r="G30" s="167">
        <v>25.98</v>
      </c>
      <c r="H30" s="167"/>
      <c r="I30" s="167"/>
      <c r="J30" s="153" t="s">
        <v>313</v>
      </c>
      <c r="K30" s="167">
        <v>5</v>
      </c>
      <c r="L30" s="95">
        <f>VLOOKUP(K30,Reinigungstage!A10:C31,3,FALSE)</f>
        <v>190.33</v>
      </c>
      <c r="M30" s="95">
        <f t="shared" si="0"/>
        <v>4944.7700000000004</v>
      </c>
      <c r="N30" s="168">
        <f t="shared" si="1"/>
        <v>0</v>
      </c>
      <c r="O30" s="95">
        <f ca="1">IF('SVS UnterhaltsRG'!H61="",0,'SVS UnterhaltsRG'!H61)</f>
        <v>0</v>
      </c>
      <c r="P30" s="95">
        <f t="shared" si="2"/>
        <v>0</v>
      </c>
      <c r="Q30" s="95">
        <f t="shared" ca="1" si="3"/>
        <v>0</v>
      </c>
      <c r="R30" s="95">
        <f t="shared" si="4"/>
        <v>0</v>
      </c>
      <c r="S30" s="95">
        <f t="shared" ca="1" si="5"/>
        <v>0</v>
      </c>
      <c r="T30" s="3" t="str">
        <f t="shared" si="6"/>
        <v>Leistungswert eintragen</v>
      </c>
      <c r="U30" s="3">
        <f t="shared" si="7"/>
        <v>0</v>
      </c>
    </row>
    <row r="31" spans="1:21" ht="15" customHeight="1" x14ac:dyDescent="0.2">
      <c r="A31" s="153">
        <v>10</v>
      </c>
      <c r="B31" s="165" t="s">
        <v>17</v>
      </c>
      <c r="C31" s="166" t="s">
        <v>306</v>
      </c>
      <c r="D31" s="166" t="s">
        <v>317</v>
      </c>
      <c r="E31" s="166" t="s">
        <v>323</v>
      </c>
      <c r="F31" s="166" t="s">
        <v>287</v>
      </c>
      <c r="G31" s="167">
        <v>25.87</v>
      </c>
      <c r="H31" s="167"/>
      <c r="I31" s="167"/>
      <c r="J31" s="153" t="s">
        <v>313</v>
      </c>
      <c r="K31" s="167">
        <v>5</v>
      </c>
      <c r="L31" s="95">
        <f>VLOOKUP(K31,Reinigungstage!A10:C31,3,FALSE)</f>
        <v>190.33</v>
      </c>
      <c r="M31" s="95">
        <f t="shared" si="0"/>
        <v>4923.84</v>
      </c>
      <c r="N31" s="168">
        <f t="shared" si="1"/>
        <v>0</v>
      </c>
      <c r="O31" s="95">
        <f ca="1">IF('SVS UnterhaltsRG'!H61="",0,'SVS UnterhaltsRG'!H61)</f>
        <v>0</v>
      </c>
      <c r="P31" s="95">
        <f t="shared" si="2"/>
        <v>0</v>
      </c>
      <c r="Q31" s="95">
        <f t="shared" ca="1" si="3"/>
        <v>0</v>
      </c>
      <c r="R31" s="95">
        <f t="shared" si="4"/>
        <v>0</v>
      </c>
      <c r="S31" s="95">
        <f t="shared" ca="1" si="5"/>
        <v>0</v>
      </c>
      <c r="T31" s="3" t="str">
        <f t="shared" si="6"/>
        <v>Leistungswert eintragen</v>
      </c>
      <c r="U31" s="3">
        <f t="shared" si="7"/>
        <v>0</v>
      </c>
    </row>
    <row r="32" spans="1:21" ht="15" customHeight="1" x14ac:dyDescent="0.2">
      <c r="A32" s="153">
        <v>11</v>
      </c>
      <c r="B32" s="165" t="s">
        <v>324</v>
      </c>
      <c r="C32" s="166" t="s">
        <v>306</v>
      </c>
      <c r="D32" s="166" t="s">
        <v>325</v>
      </c>
      <c r="E32" s="166" t="s">
        <v>288</v>
      </c>
      <c r="F32" s="166" t="s">
        <v>287</v>
      </c>
      <c r="G32" s="167">
        <v>49.13</v>
      </c>
      <c r="H32" s="167"/>
      <c r="I32" s="167"/>
      <c r="J32" s="153" t="s">
        <v>313</v>
      </c>
      <c r="K32" s="167">
        <v>5</v>
      </c>
      <c r="L32" s="95">
        <f>VLOOKUP(K32,Reinigungstage!A10:C31,3,FALSE)</f>
        <v>190.33</v>
      </c>
      <c r="M32" s="95">
        <f t="shared" si="0"/>
        <v>9350.91</v>
      </c>
      <c r="N32" s="168">
        <f t="shared" si="1"/>
        <v>0</v>
      </c>
      <c r="O32" s="95">
        <f ca="1">IF('SVS UnterhaltsRG'!H61="",0,'SVS UnterhaltsRG'!H61)</f>
        <v>0</v>
      </c>
      <c r="P32" s="95">
        <f t="shared" si="2"/>
        <v>0</v>
      </c>
      <c r="Q32" s="95">
        <f t="shared" ca="1" si="3"/>
        <v>0</v>
      </c>
      <c r="R32" s="95">
        <f t="shared" si="4"/>
        <v>0</v>
      </c>
      <c r="S32" s="95">
        <f t="shared" ca="1" si="5"/>
        <v>0</v>
      </c>
      <c r="T32" s="3" t="str">
        <f t="shared" si="6"/>
        <v>Leistungswert eintragen</v>
      </c>
      <c r="U32" s="3">
        <f t="shared" si="7"/>
        <v>0</v>
      </c>
    </row>
    <row r="33" spans="1:21" ht="15" customHeight="1" x14ac:dyDescent="0.2">
      <c r="A33" s="153">
        <v>12</v>
      </c>
      <c r="B33" s="165"/>
      <c r="C33" s="166" t="s">
        <v>306</v>
      </c>
      <c r="D33" s="166" t="s">
        <v>325</v>
      </c>
      <c r="E33" s="166" t="s">
        <v>304</v>
      </c>
      <c r="F33" s="166" t="s">
        <v>287</v>
      </c>
      <c r="G33" s="167">
        <v>6.5</v>
      </c>
      <c r="H33" s="167"/>
      <c r="I33" s="167"/>
      <c r="J33" s="153" t="s">
        <v>312</v>
      </c>
      <c r="K33" s="167">
        <v>0</v>
      </c>
      <c r="L33" s="95">
        <f>VLOOKUP(K33,Reinigungstage!A10:C31,3,FALSE)</f>
        <v>0</v>
      </c>
      <c r="M33" s="95">
        <f t="shared" si="0"/>
        <v>0</v>
      </c>
      <c r="N33" s="168">
        <f t="shared" si="1"/>
        <v>0</v>
      </c>
      <c r="O33" s="95">
        <f ca="1">IF('SVS UnterhaltsRG'!H61="",0,'SVS UnterhaltsRG'!H61)</f>
        <v>0</v>
      </c>
      <c r="P33" s="95">
        <f t="shared" si="2"/>
        <v>0</v>
      </c>
      <c r="Q33" s="95">
        <f t="shared" si="3"/>
        <v>0</v>
      </c>
      <c r="R33" s="95">
        <f t="shared" si="4"/>
        <v>0</v>
      </c>
      <c r="S33" s="95">
        <f t="shared" si="5"/>
        <v>0</v>
      </c>
      <c r="T33" s="3" t="str">
        <f t="shared" si="6"/>
        <v/>
      </c>
      <c r="U33" s="3">
        <f t="shared" si="7"/>
        <v>0</v>
      </c>
    </row>
    <row r="34" spans="1:21" ht="15" customHeight="1" x14ac:dyDescent="0.2">
      <c r="A34" s="153">
        <v>13</v>
      </c>
      <c r="B34" s="165"/>
      <c r="C34" s="166" t="s">
        <v>306</v>
      </c>
      <c r="D34" s="166" t="s">
        <v>325</v>
      </c>
      <c r="E34" s="166" t="s">
        <v>326</v>
      </c>
      <c r="F34" s="166" t="s">
        <v>287</v>
      </c>
      <c r="G34" s="167">
        <v>15.05</v>
      </c>
      <c r="H34" s="167"/>
      <c r="I34" s="167"/>
      <c r="J34" s="153" t="s">
        <v>402</v>
      </c>
      <c r="K34" s="167">
        <v>5</v>
      </c>
      <c r="L34" s="95">
        <f>VLOOKUP(K34,Reinigungstage!A10:C31,3,FALSE)</f>
        <v>190.33</v>
      </c>
      <c r="M34" s="95">
        <f t="shared" si="0"/>
        <v>2864.47</v>
      </c>
      <c r="N34" s="168">
        <f t="shared" si="1"/>
        <v>0</v>
      </c>
      <c r="O34" s="95">
        <f ca="1">IF('SVS UnterhaltsRG'!H61="",0,'SVS UnterhaltsRG'!H61)</f>
        <v>0</v>
      </c>
      <c r="P34" s="95">
        <f t="shared" si="2"/>
        <v>0</v>
      </c>
      <c r="Q34" s="95">
        <f t="shared" ca="1" si="3"/>
        <v>0</v>
      </c>
      <c r="R34" s="95">
        <f t="shared" si="4"/>
        <v>0</v>
      </c>
      <c r="S34" s="95">
        <f t="shared" ca="1" si="5"/>
        <v>0</v>
      </c>
      <c r="T34" s="3" t="str">
        <f t="shared" si="6"/>
        <v>Leistungswert eintragen</v>
      </c>
      <c r="U34" s="3">
        <f t="shared" si="7"/>
        <v>0</v>
      </c>
    </row>
    <row r="35" spans="1:21" ht="15" customHeight="1" x14ac:dyDescent="0.2">
      <c r="A35" s="153">
        <v>14</v>
      </c>
      <c r="B35" s="165"/>
      <c r="C35" s="166" t="s">
        <v>306</v>
      </c>
      <c r="D35" s="166" t="s">
        <v>325</v>
      </c>
      <c r="E35" s="166" t="s">
        <v>327</v>
      </c>
      <c r="F35" s="166" t="s">
        <v>287</v>
      </c>
      <c r="G35" s="167">
        <v>51.5</v>
      </c>
      <c r="H35" s="167"/>
      <c r="I35" s="167"/>
      <c r="J35" s="153" t="s">
        <v>313</v>
      </c>
      <c r="K35" s="167">
        <v>5</v>
      </c>
      <c r="L35" s="95">
        <f>VLOOKUP(K35,Reinigungstage!A10:C31,3,FALSE)</f>
        <v>190.33</v>
      </c>
      <c r="M35" s="95">
        <f t="shared" si="0"/>
        <v>9802</v>
      </c>
      <c r="N35" s="168">
        <f t="shared" si="1"/>
        <v>0</v>
      </c>
      <c r="O35" s="95">
        <f ca="1">IF('SVS UnterhaltsRG'!H61="",0,'SVS UnterhaltsRG'!H61)</f>
        <v>0</v>
      </c>
      <c r="P35" s="95">
        <f t="shared" si="2"/>
        <v>0</v>
      </c>
      <c r="Q35" s="95">
        <f t="shared" ca="1" si="3"/>
        <v>0</v>
      </c>
      <c r="R35" s="95">
        <f t="shared" si="4"/>
        <v>0</v>
      </c>
      <c r="S35" s="95">
        <f t="shared" ca="1" si="5"/>
        <v>0</v>
      </c>
      <c r="T35" s="3" t="str">
        <f t="shared" si="6"/>
        <v>Leistungswert eintragen</v>
      </c>
      <c r="U35" s="3">
        <f t="shared" si="7"/>
        <v>0</v>
      </c>
    </row>
    <row r="36" spans="1:21" ht="15" customHeight="1" x14ac:dyDescent="0.2">
      <c r="A36" s="153">
        <v>15</v>
      </c>
      <c r="B36" s="165"/>
      <c r="C36" s="166" t="s">
        <v>306</v>
      </c>
      <c r="D36" s="166" t="s">
        <v>325</v>
      </c>
      <c r="E36" s="166" t="s">
        <v>291</v>
      </c>
      <c r="F36" s="166" t="s">
        <v>287</v>
      </c>
      <c r="G36" s="167">
        <v>16.34</v>
      </c>
      <c r="H36" s="167"/>
      <c r="I36" s="167"/>
      <c r="J36" s="153" t="s">
        <v>291</v>
      </c>
      <c r="K36" s="167">
        <v>5</v>
      </c>
      <c r="L36" s="95">
        <f>VLOOKUP(K36,Reinigungstage!A10:C31,3,FALSE)</f>
        <v>190.33</v>
      </c>
      <c r="M36" s="95">
        <f t="shared" si="0"/>
        <v>3109.99</v>
      </c>
      <c r="N36" s="168">
        <f t="shared" si="1"/>
        <v>0</v>
      </c>
      <c r="O36" s="95">
        <f ca="1">IF('SVS UnterhaltsRG'!H61="",0,'SVS UnterhaltsRG'!H61)</f>
        <v>0</v>
      </c>
      <c r="P36" s="95">
        <f t="shared" si="2"/>
        <v>0</v>
      </c>
      <c r="Q36" s="95">
        <f t="shared" ca="1" si="3"/>
        <v>0</v>
      </c>
      <c r="R36" s="95">
        <f t="shared" si="4"/>
        <v>0</v>
      </c>
      <c r="S36" s="95">
        <f t="shared" ca="1" si="5"/>
        <v>0</v>
      </c>
      <c r="T36" s="3" t="str">
        <f t="shared" si="6"/>
        <v>Leistungswert eintragen</v>
      </c>
      <c r="U36" s="3">
        <f t="shared" si="7"/>
        <v>0</v>
      </c>
    </row>
    <row r="37" spans="1:21" ht="15" customHeight="1" x14ac:dyDescent="0.2">
      <c r="A37" s="153">
        <v>16</v>
      </c>
      <c r="B37" s="165" t="s">
        <v>328</v>
      </c>
      <c r="C37" s="166" t="s">
        <v>306</v>
      </c>
      <c r="D37" s="166" t="s">
        <v>325</v>
      </c>
      <c r="E37" s="166" t="s">
        <v>329</v>
      </c>
      <c r="F37" s="166" t="s">
        <v>330</v>
      </c>
      <c r="G37" s="167">
        <v>48.6</v>
      </c>
      <c r="H37" s="167"/>
      <c r="I37" s="167">
        <v>1</v>
      </c>
      <c r="J37" s="153" t="s">
        <v>403</v>
      </c>
      <c r="K37" s="167">
        <v>5</v>
      </c>
      <c r="L37" s="95">
        <f>VLOOKUP(K37,Reinigungstage!A10:C31,3,FALSE)</f>
        <v>190.33</v>
      </c>
      <c r="M37" s="95">
        <f t="shared" si="0"/>
        <v>9250.0400000000009</v>
      </c>
      <c r="N37" s="168">
        <f t="shared" si="1"/>
        <v>0</v>
      </c>
      <c r="O37" s="95">
        <f ca="1">IF('SVS UnterhaltsRG'!H61="",0,'SVS UnterhaltsRG'!H61)</f>
        <v>0</v>
      </c>
      <c r="P37" s="95">
        <f t="shared" si="2"/>
        <v>0</v>
      </c>
      <c r="Q37" s="95">
        <f t="shared" ca="1" si="3"/>
        <v>0</v>
      </c>
      <c r="R37" s="95">
        <f t="shared" si="4"/>
        <v>0</v>
      </c>
      <c r="S37" s="95">
        <f t="shared" ca="1" si="5"/>
        <v>0</v>
      </c>
      <c r="T37" s="3" t="str">
        <f t="shared" si="6"/>
        <v>Leistungswert eintragen</v>
      </c>
      <c r="U37" s="3">
        <f t="shared" si="7"/>
        <v>0</v>
      </c>
    </row>
    <row r="38" spans="1:21" ht="15" customHeight="1" x14ac:dyDescent="0.2">
      <c r="A38" s="153">
        <v>17</v>
      </c>
      <c r="B38" s="165" t="s">
        <v>331</v>
      </c>
      <c r="C38" s="166" t="s">
        <v>306</v>
      </c>
      <c r="D38" s="166" t="s">
        <v>325</v>
      </c>
      <c r="E38" s="166" t="s">
        <v>329</v>
      </c>
      <c r="F38" s="166" t="s">
        <v>287</v>
      </c>
      <c r="G38" s="167">
        <v>48.57</v>
      </c>
      <c r="H38" s="167">
        <v>11.67</v>
      </c>
      <c r="I38" s="167"/>
      <c r="J38" s="153" t="s">
        <v>403</v>
      </c>
      <c r="K38" s="167">
        <v>5</v>
      </c>
      <c r="L38" s="95">
        <f>VLOOKUP(K38,Reinigungstage!A10:C31,3,FALSE)</f>
        <v>190.33</v>
      </c>
      <c r="M38" s="95">
        <f t="shared" si="0"/>
        <v>9244.33</v>
      </c>
      <c r="N38" s="168">
        <f t="shared" si="1"/>
        <v>0</v>
      </c>
      <c r="O38" s="95">
        <f ca="1">IF('SVS UnterhaltsRG'!H61="",0,'SVS UnterhaltsRG'!H61)</f>
        <v>0</v>
      </c>
      <c r="P38" s="95">
        <f t="shared" si="2"/>
        <v>0</v>
      </c>
      <c r="Q38" s="95">
        <f t="shared" ca="1" si="3"/>
        <v>0</v>
      </c>
      <c r="R38" s="95">
        <f t="shared" si="4"/>
        <v>0</v>
      </c>
      <c r="S38" s="95">
        <f t="shared" ca="1" si="5"/>
        <v>0</v>
      </c>
      <c r="T38" s="3" t="str">
        <f t="shared" si="6"/>
        <v>Leistungswert eintragen</v>
      </c>
      <c r="U38" s="3">
        <f t="shared" si="7"/>
        <v>0</v>
      </c>
    </row>
    <row r="39" spans="1:21" ht="15" customHeight="1" x14ac:dyDescent="0.2">
      <c r="A39" s="153">
        <v>18</v>
      </c>
      <c r="B39" s="165" t="s">
        <v>332</v>
      </c>
      <c r="C39" s="166" t="s">
        <v>306</v>
      </c>
      <c r="D39" s="166" t="s">
        <v>325</v>
      </c>
      <c r="E39" s="166" t="s">
        <v>329</v>
      </c>
      <c r="F39" s="166" t="s">
        <v>287</v>
      </c>
      <c r="G39" s="167">
        <v>47.92</v>
      </c>
      <c r="H39" s="167">
        <v>7.72</v>
      </c>
      <c r="I39" s="167"/>
      <c r="J39" s="153" t="s">
        <v>403</v>
      </c>
      <c r="K39" s="167">
        <v>5</v>
      </c>
      <c r="L39" s="95">
        <f>VLOOKUP(K39,Reinigungstage!A10:C31,3,FALSE)</f>
        <v>190.33</v>
      </c>
      <c r="M39" s="95">
        <f t="shared" si="0"/>
        <v>9120.61</v>
      </c>
      <c r="N39" s="168">
        <f t="shared" si="1"/>
        <v>0</v>
      </c>
      <c r="O39" s="95">
        <f ca="1">IF('SVS UnterhaltsRG'!H61="",0,'SVS UnterhaltsRG'!H61)</f>
        <v>0</v>
      </c>
      <c r="P39" s="95">
        <f t="shared" si="2"/>
        <v>0</v>
      </c>
      <c r="Q39" s="95">
        <f t="shared" ca="1" si="3"/>
        <v>0</v>
      </c>
      <c r="R39" s="95">
        <f t="shared" si="4"/>
        <v>0</v>
      </c>
      <c r="S39" s="95">
        <f t="shared" ca="1" si="5"/>
        <v>0</v>
      </c>
      <c r="T39" s="3" t="str">
        <f t="shared" si="6"/>
        <v>Leistungswert eintragen</v>
      </c>
      <c r="U39" s="3">
        <f t="shared" si="7"/>
        <v>0</v>
      </c>
    </row>
    <row r="40" spans="1:21" ht="15" customHeight="1" x14ac:dyDescent="0.2">
      <c r="A40" s="153">
        <v>19</v>
      </c>
      <c r="B40" s="165"/>
      <c r="C40" s="166" t="s">
        <v>306</v>
      </c>
      <c r="D40" s="166" t="s">
        <v>325</v>
      </c>
      <c r="E40" s="166" t="s">
        <v>333</v>
      </c>
      <c r="F40" s="166" t="s">
        <v>334</v>
      </c>
      <c r="G40" s="167">
        <v>6.79</v>
      </c>
      <c r="H40" s="167"/>
      <c r="I40" s="167"/>
      <c r="J40" s="153" t="s">
        <v>310</v>
      </c>
      <c r="K40" s="167">
        <v>5</v>
      </c>
      <c r="L40" s="95">
        <f>VLOOKUP(K40,Reinigungstage!A10:C31,3,FALSE)</f>
        <v>190.33</v>
      </c>
      <c r="M40" s="95">
        <f t="shared" si="0"/>
        <v>1292.3399999999999</v>
      </c>
      <c r="N40" s="168">
        <f t="shared" si="1"/>
        <v>0</v>
      </c>
      <c r="O40" s="95">
        <f ca="1">IF('SVS UnterhaltsRG'!H61="",0,'SVS UnterhaltsRG'!H61)</f>
        <v>0</v>
      </c>
      <c r="P40" s="95">
        <f t="shared" si="2"/>
        <v>0</v>
      </c>
      <c r="Q40" s="95">
        <f t="shared" ca="1" si="3"/>
        <v>0</v>
      </c>
      <c r="R40" s="95">
        <f t="shared" si="4"/>
        <v>0</v>
      </c>
      <c r="S40" s="95">
        <f t="shared" ca="1" si="5"/>
        <v>0</v>
      </c>
      <c r="T40" s="3" t="str">
        <f t="shared" si="6"/>
        <v>Leistungswert eintragen</v>
      </c>
      <c r="U40" s="3">
        <f t="shared" si="7"/>
        <v>0</v>
      </c>
    </row>
    <row r="41" spans="1:21" ht="15" customHeight="1" x14ac:dyDescent="0.2">
      <c r="A41" s="153">
        <v>20</v>
      </c>
      <c r="B41" s="165"/>
      <c r="C41" s="166" t="s">
        <v>306</v>
      </c>
      <c r="D41" s="166" t="s">
        <v>325</v>
      </c>
      <c r="E41" s="166" t="s">
        <v>310</v>
      </c>
      <c r="F41" s="166" t="s">
        <v>293</v>
      </c>
      <c r="G41" s="167">
        <v>4.96</v>
      </c>
      <c r="H41" s="167"/>
      <c r="I41" s="167"/>
      <c r="J41" s="153" t="s">
        <v>310</v>
      </c>
      <c r="K41" s="167">
        <v>5</v>
      </c>
      <c r="L41" s="95">
        <f>VLOOKUP(K41,Reinigungstage!A10:C31,3,FALSE)</f>
        <v>190.33</v>
      </c>
      <c r="M41" s="95">
        <f t="shared" si="0"/>
        <v>944.04</v>
      </c>
      <c r="N41" s="168">
        <f t="shared" si="1"/>
        <v>0</v>
      </c>
      <c r="O41" s="95">
        <f ca="1">IF('SVS UnterhaltsRG'!H61="",0,'SVS UnterhaltsRG'!H61)</f>
        <v>0</v>
      </c>
      <c r="P41" s="95">
        <f t="shared" si="2"/>
        <v>0</v>
      </c>
      <c r="Q41" s="95">
        <f t="shared" ca="1" si="3"/>
        <v>0</v>
      </c>
      <c r="R41" s="95">
        <f t="shared" si="4"/>
        <v>0</v>
      </c>
      <c r="S41" s="95">
        <f t="shared" ca="1" si="5"/>
        <v>0</v>
      </c>
      <c r="T41" s="3" t="str">
        <f t="shared" si="6"/>
        <v>Leistungswert eintragen</v>
      </c>
      <c r="U41" s="3">
        <f t="shared" si="7"/>
        <v>0</v>
      </c>
    </row>
    <row r="42" spans="1:21" ht="15" customHeight="1" x14ac:dyDescent="0.2">
      <c r="A42" s="153">
        <v>21</v>
      </c>
      <c r="B42" s="165"/>
      <c r="C42" s="166" t="s">
        <v>306</v>
      </c>
      <c r="D42" s="166" t="s">
        <v>335</v>
      </c>
      <c r="E42" s="166" t="s">
        <v>336</v>
      </c>
      <c r="F42" s="166" t="s">
        <v>287</v>
      </c>
      <c r="G42" s="167">
        <v>18.989999999999998</v>
      </c>
      <c r="H42" s="167"/>
      <c r="I42" s="167"/>
      <c r="J42" s="153" t="s">
        <v>313</v>
      </c>
      <c r="K42" s="167">
        <v>5</v>
      </c>
      <c r="L42" s="95">
        <f>VLOOKUP(K42,Reinigungstage!A10:C31,3,FALSE)</f>
        <v>190.33</v>
      </c>
      <c r="M42" s="95">
        <f t="shared" si="0"/>
        <v>3614.37</v>
      </c>
      <c r="N42" s="168">
        <f t="shared" si="1"/>
        <v>0</v>
      </c>
      <c r="O42" s="95">
        <f ca="1">IF('SVS UnterhaltsRG'!H61="",0,'SVS UnterhaltsRG'!H61)</f>
        <v>0</v>
      </c>
      <c r="P42" s="95">
        <f t="shared" si="2"/>
        <v>0</v>
      </c>
      <c r="Q42" s="95">
        <f t="shared" ca="1" si="3"/>
        <v>0</v>
      </c>
      <c r="R42" s="95">
        <f t="shared" si="4"/>
        <v>0</v>
      </c>
      <c r="S42" s="95">
        <f t="shared" ca="1" si="5"/>
        <v>0</v>
      </c>
      <c r="T42" s="3" t="str">
        <f t="shared" si="6"/>
        <v>Leistungswert eintragen</v>
      </c>
      <c r="U42" s="3">
        <f t="shared" si="7"/>
        <v>0</v>
      </c>
    </row>
    <row r="43" spans="1:21" ht="15" customHeight="1" x14ac:dyDescent="0.2">
      <c r="A43" s="153">
        <v>22</v>
      </c>
      <c r="B43" s="165"/>
      <c r="C43" s="166" t="s">
        <v>306</v>
      </c>
      <c r="D43" s="166" t="s">
        <v>335</v>
      </c>
      <c r="E43" s="166" t="s">
        <v>288</v>
      </c>
      <c r="F43" s="166" t="s">
        <v>287</v>
      </c>
      <c r="G43" s="167">
        <v>29.55</v>
      </c>
      <c r="H43" s="167"/>
      <c r="I43" s="167"/>
      <c r="J43" s="153" t="s">
        <v>313</v>
      </c>
      <c r="K43" s="167">
        <v>5</v>
      </c>
      <c r="L43" s="95">
        <f>VLOOKUP(K43,Reinigungstage!A10:C31,3,FALSE)</f>
        <v>190.33</v>
      </c>
      <c r="M43" s="95">
        <f t="shared" si="0"/>
        <v>5624.25</v>
      </c>
      <c r="N43" s="168">
        <f t="shared" si="1"/>
        <v>0</v>
      </c>
      <c r="O43" s="95">
        <f ca="1">IF('SVS UnterhaltsRG'!H61="",0,'SVS UnterhaltsRG'!H61)</f>
        <v>0</v>
      </c>
      <c r="P43" s="95">
        <f t="shared" si="2"/>
        <v>0</v>
      </c>
      <c r="Q43" s="95">
        <f t="shared" ca="1" si="3"/>
        <v>0</v>
      </c>
      <c r="R43" s="95">
        <f t="shared" si="4"/>
        <v>0</v>
      </c>
      <c r="S43" s="95">
        <f t="shared" ca="1" si="5"/>
        <v>0</v>
      </c>
      <c r="T43" s="3" t="str">
        <f t="shared" si="6"/>
        <v>Leistungswert eintragen</v>
      </c>
      <c r="U43" s="3">
        <f t="shared" si="7"/>
        <v>0</v>
      </c>
    </row>
    <row r="44" spans="1:21" ht="15" customHeight="1" x14ac:dyDescent="0.2">
      <c r="A44" s="153">
        <v>23</v>
      </c>
      <c r="B44" s="165" t="s">
        <v>22</v>
      </c>
      <c r="C44" s="166" t="s">
        <v>306</v>
      </c>
      <c r="D44" s="166" t="s">
        <v>335</v>
      </c>
      <c r="E44" s="166" t="s">
        <v>337</v>
      </c>
      <c r="F44" s="166" t="s">
        <v>287</v>
      </c>
      <c r="G44" s="167">
        <v>49.32</v>
      </c>
      <c r="H44" s="167"/>
      <c r="I44" s="167"/>
      <c r="J44" s="153" t="s">
        <v>401</v>
      </c>
      <c r="K44" s="167">
        <v>5</v>
      </c>
      <c r="L44" s="95">
        <f>VLOOKUP(K44,Reinigungstage!A10:C31,3,FALSE)</f>
        <v>190.33</v>
      </c>
      <c r="M44" s="95">
        <f t="shared" si="0"/>
        <v>9387.08</v>
      </c>
      <c r="N44" s="168">
        <f t="shared" si="1"/>
        <v>0</v>
      </c>
      <c r="O44" s="95">
        <f ca="1">IF('SVS UnterhaltsRG'!H61="",0,'SVS UnterhaltsRG'!H61)</f>
        <v>0</v>
      </c>
      <c r="P44" s="95">
        <f t="shared" si="2"/>
        <v>0</v>
      </c>
      <c r="Q44" s="95">
        <f t="shared" ca="1" si="3"/>
        <v>0</v>
      </c>
      <c r="R44" s="95">
        <f t="shared" si="4"/>
        <v>0</v>
      </c>
      <c r="S44" s="95">
        <f t="shared" ca="1" si="5"/>
        <v>0</v>
      </c>
      <c r="T44" s="3" t="str">
        <f t="shared" si="6"/>
        <v>Leistungswert eintragen</v>
      </c>
      <c r="U44" s="3">
        <f t="shared" si="7"/>
        <v>0</v>
      </c>
    </row>
    <row r="45" spans="1:21" ht="15" customHeight="1" x14ac:dyDescent="0.2">
      <c r="A45" s="153">
        <v>24</v>
      </c>
      <c r="B45" s="165" t="s">
        <v>20</v>
      </c>
      <c r="C45" s="166" t="s">
        <v>306</v>
      </c>
      <c r="D45" s="166" t="s">
        <v>335</v>
      </c>
      <c r="E45" s="166" t="s">
        <v>338</v>
      </c>
      <c r="F45" s="166" t="s">
        <v>330</v>
      </c>
      <c r="G45" s="167">
        <v>49.02</v>
      </c>
      <c r="H45" s="167"/>
      <c r="I45" s="167"/>
      <c r="J45" s="153" t="s">
        <v>315</v>
      </c>
      <c r="K45" s="167">
        <v>1</v>
      </c>
      <c r="L45" s="95">
        <f>VLOOKUP(K45,Reinigungstage!A10:C31,3,FALSE)</f>
        <v>39.54</v>
      </c>
      <c r="M45" s="95">
        <f t="shared" si="0"/>
        <v>1938.25</v>
      </c>
      <c r="N45" s="168">
        <f t="shared" si="1"/>
        <v>0</v>
      </c>
      <c r="O45" s="95">
        <f ca="1">IF('SVS UnterhaltsRG'!H61="",0,'SVS UnterhaltsRG'!H61)</f>
        <v>0</v>
      </c>
      <c r="P45" s="95">
        <f t="shared" si="2"/>
        <v>0</v>
      </c>
      <c r="Q45" s="95">
        <f t="shared" ca="1" si="3"/>
        <v>0</v>
      </c>
      <c r="R45" s="95">
        <f t="shared" si="4"/>
        <v>0</v>
      </c>
      <c r="S45" s="95">
        <f t="shared" ca="1" si="5"/>
        <v>0</v>
      </c>
      <c r="T45" s="3" t="str">
        <f t="shared" si="6"/>
        <v>Leistungswert eintragen</v>
      </c>
      <c r="U45" s="3">
        <f t="shared" si="7"/>
        <v>0</v>
      </c>
    </row>
    <row r="46" spans="1:21" ht="15" customHeight="1" x14ac:dyDescent="0.2">
      <c r="A46" s="153">
        <v>25</v>
      </c>
      <c r="B46" s="165"/>
      <c r="C46" s="166" t="s">
        <v>306</v>
      </c>
      <c r="D46" s="166" t="s">
        <v>335</v>
      </c>
      <c r="E46" s="166" t="s">
        <v>339</v>
      </c>
      <c r="F46" s="166" t="s">
        <v>287</v>
      </c>
      <c r="G46" s="167">
        <v>9.8000000000000007</v>
      </c>
      <c r="H46" s="167"/>
      <c r="I46" s="167"/>
      <c r="J46" s="153" t="s">
        <v>312</v>
      </c>
      <c r="K46" s="153" t="s">
        <v>162</v>
      </c>
      <c r="L46" s="95">
        <f>VLOOKUP(K46,Reinigungstage!A10:C31,3,FALSE)</f>
        <v>11</v>
      </c>
      <c r="M46" s="95">
        <f t="shared" si="0"/>
        <v>107.8</v>
      </c>
      <c r="N46" s="168">
        <f t="shared" si="1"/>
        <v>0</v>
      </c>
      <c r="O46" s="95">
        <f ca="1">IF('SVS UnterhaltsRG'!H61="",0,'SVS UnterhaltsRG'!H61)</f>
        <v>0</v>
      </c>
      <c r="P46" s="95">
        <f t="shared" si="2"/>
        <v>0</v>
      </c>
      <c r="Q46" s="95">
        <f t="shared" ca="1" si="3"/>
        <v>0</v>
      </c>
      <c r="R46" s="95">
        <f t="shared" si="4"/>
        <v>0</v>
      </c>
      <c r="S46" s="95">
        <f t="shared" ca="1" si="5"/>
        <v>0</v>
      </c>
      <c r="T46" s="3" t="str">
        <f t="shared" si="6"/>
        <v>Leistungswert eintragen</v>
      </c>
      <c r="U46" s="3">
        <f t="shared" si="7"/>
        <v>0</v>
      </c>
    </row>
    <row r="47" spans="1:21" ht="15" customHeight="1" x14ac:dyDescent="0.2">
      <c r="A47" s="153">
        <v>26</v>
      </c>
      <c r="B47" s="165" t="s">
        <v>24</v>
      </c>
      <c r="C47" s="166" t="s">
        <v>306</v>
      </c>
      <c r="D47" s="166" t="s">
        <v>335</v>
      </c>
      <c r="E47" s="166" t="s">
        <v>340</v>
      </c>
      <c r="F47" s="166" t="s">
        <v>287</v>
      </c>
      <c r="G47" s="167">
        <v>32.26</v>
      </c>
      <c r="H47" s="167"/>
      <c r="I47" s="167"/>
      <c r="J47" s="153" t="s">
        <v>402</v>
      </c>
      <c r="K47" s="167">
        <v>5</v>
      </c>
      <c r="L47" s="95">
        <f>VLOOKUP(K47,Reinigungstage!A10:C31,3,FALSE)</f>
        <v>190.33</v>
      </c>
      <c r="M47" s="95">
        <f t="shared" si="0"/>
        <v>6140.05</v>
      </c>
      <c r="N47" s="168">
        <f t="shared" si="1"/>
        <v>0</v>
      </c>
      <c r="O47" s="95">
        <f ca="1">IF('SVS UnterhaltsRG'!H61="",0,'SVS UnterhaltsRG'!H61)</f>
        <v>0</v>
      </c>
      <c r="P47" s="95">
        <f t="shared" si="2"/>
        <v>0</v>
      </c>
      <c r="Q47" s="95">
        <f t="shared" ca="1" si="3"/>
        <v>0</v>
      </c>
      <c r="R47" s="95">
        <f t="shared" si="4"/>
        <v>0</v>
      </c>
      <c r="S47" s="95">
        <f t="shared" ca="1" si="5"/>
        <v>0</v>
      </c>
      <c r="T47" s="3" t="str">
        <f t="shared" si="6"/>
        <v>Leistungswert eintragen</v>
      </c>
      <c r="U47" s="3">
        <f t="shared" si="7"/>
        <v>0</v>
      </c>
    </row>
    <row r="48" spans="1:21" ht="15" customHeight="1" x14ac:dyDescent="0.2">
      <c r="A48" s="153">
        <v>27</v>
      </c>
      <c r="B48" s="165" t="s">
        <v>341</v>
      </c>
      <c r="C48" s="166" t="s">
        <v>306</v>
      </c>
      <c r="D48" s="166" t="s">
        <v>335</v>
      </c>
      <c r="E48" s="166" t="s">
        <v>321</v>
      </c>
      <c r="F48" s="166" t="s">
        <v>287</v>
      </c>
      <c r="G48" s="167">
        <v>15.57</v>
      </c>
      <c r="H48" s="167"/>
      <c r="I48" s="167"/>
      <c r="J48" s="153" t="s">
        <v>401</v>
      </c>
      <c r="K48" s="167">
        <v>5</v>
      </c>
      <c r="L48" s="95">
        <f>VLOOKUP(K48,Reinigungstage!A10:C31,3,FALSE)</f>
        <v>190.33</v>
      </c>
      <c r="M48" s="95">
        <f t="shared" si="0"/>
        <v>2963.44</v>
      </c>
      <c r="N48" s="168">
        <f t="shared" si="1"/>
        <v>0</v>
      </c>
      <c r="O48" s="95">
        <f ca="1">IF('SVS UnterhaltsRG'!H61="",0,'SVS UnterhaltsRG'!H61)</f>
        <v>0</v>
      </c>
      <c r="P48" s="95">
        <f t="shared" si="2"/>
        <v>0</v>
      </c>
      <c r="Q48" s="95">
        <f t="shared" ca="1" si="3"/>
        <v>0</v>
      </c>
      <c r="R48" s="95">
        <f t="shared" si="4"/>
        <v>0</v>
      </c>
      <c r="S48" s="95">
        <f t="shared" ca="1" si="5"/>
        <v>0</v>
      </c>
      <c r="T48" s="3" t="str">
        <f t="shared" si="6"/>
        <v>Leistungswert eintragen</v>
      </c>
      <c r="U48" s="3">
        <f t="shared" si="7"/>
        <v>0</v>
      </c>
    </row>
    <row r="49" spans="1:21" ht="15" customHeight="1" x14ac:dyDescent="0.2">
      <c r="A49" s="153">
        <v>28</v>
      </c>
      <c r="B49" s="165" t="s">
        <v>342</v>
      </c>
      <c r="C49" s="166" t="s">
        <v>306</v>
      </c>
      <c r="D49" s="166" t="s">
        <v>335</v>
      </c>
      <c r="E49" s="166" t="s">
        <v>343</v>
      </c>
      <c r="F49" s="166" t="s">
        <v>287</v>
      </c>
      <c r="G49" s="167">
        <v>34.36</v>
      </c>
      <c r="H49" s="167"/>
      <c r="I49" s="167"/>
      <c r="J49" s="153" t="s">
        <v>401</v>
      </c>
      <c r="K49" s="167">
        <v>2</v>
      </c>
      <c r="L49" s="95">
        <f>VLOOKUP(K49,Reinigungstage!A10:C31,3,FALSE)</f>
        <v>79.08</v>
      </c>
      <c r="M49" s="95">
        <f t="shared" si="0"/>
        <v>2717.19</v>
      </c>
      <c r="N49" s="168">
        <f t="shared" si="1"/>
        <v>0</v>
      </c>
      <c r="O49" s="95">
        <f ca="1">IF('SVS UnterhaltsRG'!H61="",0,'SVS UnterhaltsRG'!H61)</f>
        <v>0</v>
      </c>
      <c r="P49" s="95">
        <f t="shared" si="2"/>
        <v>0</v>
      </c>
      <c r="Q49" s="95">
        <f t="shared" ca="1" si="3"/>
        <v>0</v>
      </c>
      <c r="R49" s="95">
        <f t="shared" si="4"/>
        <v>0</v>
      </c>
      <c r="S49" s="95">
        <f t="shared" ca="1" si="5"/>
        <v>0</v>
      </c>
      <c r="T49" s="3" t="str">
        <f t="shared" si="6"/>
        <v>Leistungswert eintragen</v>
      </c>
      <c r="U49" s="3">
        <f t="shared" si="7"/>
        <v>0</v>
      </c>
    </row>
    <row r="50" spans="1:21" ht="15" customHeight="1" x14ac:dyDescent="0.2">
      <c r="A50" s="153">
        <v>29</v>
      </c>
      <c r="B50" s="165"/>
      <c r="C50" s="166" t="s">
        <v>306</v>
      </c>
      <c r="D50" s="166" t="s">
        <v>335</v>
      </c>
      <c r="E50" s="166" t="s">
        <v>288</v>
      </c>
      <c r="F50" s="166" t="s">
        <v>334</v>
      </c>
      <c r="G50" s="167">
        <v>5.4</v>
      </c>
      <c r="H50" s="167"/>
      <c r="I50" s="167"/>
      <c r="J50" s="153" t="s">
        <v>313</v>
      </c>
      <c r="K50" s="167">
        <v>5</v>
      </c>
      <c r="L50" s="95">
        <f>VLOOKUP(K50,Reinigungstage!A10:C31,3,FALSE)</f>
        <v>190.33</v>
      </c>
      <c r="M50" s="95">
        <f t="shared" si="0"/>
        <v>1027.78</v>
      </c>
      <c r="N50" s="168">
        <f t="shared" si="1"/>
        <v>0</v>
      </c>
      <c r="O50" s="95">
        <f ca="1">IF('SVS UnterhaltsRG'!H61="",0,'SVS UnterhaltsRG'!H61)</f>
        <v>0</v>
      </c>
      <c r="P50" s="95">
        <f t="shared" si="2"/>
        <v>0</v>
      </c>
      <c r="Q50" s="95">
        <f t="shared" ca="1" si="3"/>
        <v>0</v>
      </c>
      <c r="R50" s="95">
        <f t="shared" si="4"/>
        <v>0</v>
      </c>
      <c r="S50" s="95">
        <f t="shared" ca="1" si="5"/>
        <v>0</v>
      </c>
      <c r="T50" s="3" t="str">
        <f t="shared" si="6"/>
        <v>Leistungswert eintragen</v>
      </c>
      <c r="U50" s="3">
        <f t="shared" si="7"/>
        <v>0</v>
      </c>
    </row>
    <row r="51" spans="1:21" ht="15" customHeight="1" x14ac:dyDescent="0.2">
      <c r="A51" s="153">
        <v>30</v>
      </c>
      <c r="B51" s="165"/>
      <c r="C51" s="166" t="s">
        <v>306</v>
      </c>
      <c r="D51" s="166" t="s">
        <v>335</v>
      </c>
      <c r="E51" s="166" t="s">
        <v>310</v>
      </c>
      <c r="F51" s="166" t="s">
        <v>334</v>
      </c>
      <c r="G51" s="167">
        <v>2.29</v>
      </c>
      <c r="H51" s="167"/>
      <c r="I51" s="167"/>
      <c r="J51" s="153" t="s">
        <v>310</v>
      </c>
      <c r="K51" s="167">
        <v>5</v>
      </c>
      <c r="L51" s="95">
        <f>VLOOKUP(K51,Reinigungstage!A10:C31,3,FALSE)</f>
        <v>190.33</v>
      </c>
      <c r="M51" s="95">
        <f t="shared" si="0"/>
        <v>435.86</v>
      </c>
      <c r="N51" s="168">
        <f t="shared" si="1"/>
        <v>0</v>
      </c>
      <c r="O51" s="95">
        <f ca="1">IF('SVS UnterhaltsRG'!H61="",0,'SVS UnterhaltsRG'!H61)</f>
        <v>0</v>
      </c>
      <c r="P51" s="95">
        <f t="shared" si="2"/>
        <v>0</v>
      </c>
      <c r="Q51" s="95">
        <f t="shared" ca="1" si="3"/>
        <v>0</v>
      </c>
      <c r="R51" s="95">
        <f t="shared" si="4"/>
        <v>0</v>
      </c>
      <c r="S51" s="95">
        <f t="shared" ca="1" si="5"/>
        <v>0</v>
      </c>
      <c r="T51" s="3" t="str">
        <f t="shared" si="6"/>
        <v>Leistungswert eintragen</v>
      </c>
      <c r="U51" s="3">
        <f t="shared" si="7"/>
        <v>0</v>
      </c>
    </row>
    <row r="52" spans="1:21" ht="15" customHeight="1" x14ac:dyDescent="0.2">
      <c r="A52" s="153">
        <v>31</v>
      </c>
      <c r="B52" s="165"/>
      <c r="C52" s="166" t="s">
        <v>306</v>
      </c>
      <c r="D52" s="166" t="s">
        <v>335</v>
      </c>
      <c r="E52" s="166" t="s">
        <v>310</v>
      </c>
      <c r="F52" s="166" t="s">
        <v>334</v>
      </c>
      <c r="G52" s="167">
        <v>15.9</v>
      </c>
      <c r="H52" s="167"/>
      <c r="I52" s="167"/>
      <c r="J52" s="153" t="s">
        <v>310</v>
      </c>
      <c r="K52" s="167">
        <v>5</v>
      </c>
      <c r="L52" s="95">
        <f>VLOOKUP(K52,Reinigungstage!A10:C31,3,FALSE)</f>
        <v>190.33</v>
      </c>
      <c r="M52" s="95">
        <f t="shared" si="0"/>
        <v>3026.25</v>
      </c>
      <c r="N52" s="168">
        <f t="shared" si="1"/>
        <v>0</v>
      </c>
      <c r="O52" s="95">
        <f ca="1">IF('SVS UnterhaltsRG'!H61="",0,'SVS UnterhaltsRG'!H61)</f>
        <v>0</v>
      </c>
      <c r="P52" s="95">
        <f t="shared" si="2"/>
        <v>0</v>
      </c>
      <c r="Q52" s="95">
        <f t="shared" ca="1" si="3"/>
        <v>0</v>
      </c>
      <c r="R52" s="95">
        <f t="shared" si="4"/>
        <v>0</v>
      </c>
      <c r="S52" s="95">
        <f t="shared" ca="1" si="5"/>
        <v>0</v>
      </c>
      <c r="T52" s="3" t="str">
        <f t="shared" si="6"/>
        <v>Leistungswert eintragen</v>
      </c>
      <c r="U52" s="3">
        <f t="shared" si="7"/>
        <v>0</v>
      </c>
    </row>
    <row r="53" spans="1:21" ht="15" customHeight="1" x14ac:dyDescent="0.2">
      <c r="A53" s="153">
        <v>32</v>
      </c>
      <c r="B53" s="165"/>
      <c r="C53" s="166" t="s">
        <v>276</v>
      </c>
      <c r="D53" s="166" t="s">
        <v>317</v>
      </c>
      <c r="E53" s="166" t="s">
        <v>288</v>
      </c>
      <c r="F53" s="166" t="s">
        <v>293</v>
      </c>
      <c r="G53" s="167">
        <v>41.86</v>
      </c>
      <c r="H53" s="167"/>
      <c r="I53" s="167"/>
      <c r="J53" s="153" t="s">
        <v>313</v>
      </c>
      <c r="K53" s="167">
        <v>5</v>
      </c>
      <c r="L53" s="95">
        <f>VLOOKUP(K53,Reinigungstage!A10:C31,3,FALSE)</f>
        <v>190.33</v>
      </c>
      <c r="M53" s="95">
        <f t="shared" si="0"/>
        <v>7967.21</v>
      </c>
      <c r="N53" s="168">
        <f t="shared" si="1"/>
        <v>0</v>
      </c>
      <c r="O53" s="95">
        <f ca="1">IF('SVS UnterhaltsRG'!H61="",0,'SVS UnterhaltsRG'!H61)</f>
        <v>0</v>
      </c>
      <c r="P53" s="95">
        <f t="shared" si="2"/>
        <v>0</v>
      </c>
      <c r="Q53" s="95">
        <f t="shared" ca="1" si="3"/>
        <v>0</v>
      </c>
      <c r="R53" s="95">
        <f t="shared" si="4"/>
        <v>0</v>
      </c>
      <c r="S53" s="95">
        <f t="shared" ca="1" si="5"/>
        <v>0</v>
      </c>
      <c r="T53" s="3" t="str">
        <f t="shared" si="6"/>
        <v>Leistungswert eintragen</v>
      </c>
      <c r="U53" s="3">
        <f t="shared" si="7"/>
        <v>0</v>
      </c>
    </row>
    <row r="54" spans="1:21" ht="15" customHeight="1" x14ac:dyDescent="0.2">
      <c r="A54" s="153">
        <v>33</v>
      </c>
      <c r="B54" s="165" t="s">
        <v>344</v>
      </c>
      <c r="C54" s="166" t="s">
        <v>276</v>
      </c>
      <c r="D54" s="166" t="s">
        <v>317</v>
      </c>
      <c r="E54" s="166" t="s">
        <v>291</v>
      </c>
      <c r="F54" s="166" t="s">
        <v>293</v>
      </c>
      <c r="G54" s="167">
        <v>14.52</v>
      </c>
      <c r="H54" s="167"/>
      <c r="I54" s="167"/>
      <c r="J54" s="153" t="s">
        <v>291</v>
      </c>
      <c r="K54" s="167">
        <v>5</v>
      </c>
      <c r="L54" s="95">
        <f>VLOOKUP(K54,Reinigungstage!A10:C31,3,FALSE)</f>
        <v>190.33</v>
      </c>
      <c r="M54" s="95">
        <f t="shared" ref="M54:M85" si="8">ROUND(IF(L54=0,0,L54*G54),2)</f>
        <v>2763.59</v>
      </c>
      <c r="N54" s="168">
        <f t="shared" ref="N54:N85" si="9">VLOOKUP(J54,$G$4:$H$13,2,FALSE)</f>
        <v>0</v>
      </c>
      <c r="O54" s="95">
        <f ca="1">IF('SVS UnterhaltsRG'!H61="",0,'SVS UnterhaltsRG'!H61)</f>
        <v>0</v>
      </c>
      <c r="P54" s="95">
        <f t="shared" ref="P54:P85" si="10">ROUND(IF(N54=0,0,M54/N54),2)</f>
        <v>0</v>
      </c>
      <c r="Q54" s="95">
        <f t="shared" ref="Q54:Q85" ca="1" si="11">IF(M54=0,0,IF(O54="",0,ROUND(P54*O54,2)))</f>
        <v>0</v>
      </c>
      <c r="R54" s="95">
        <f t="shared" ref="R54:R85" si="12">ROUND(IF(P54=0,0,P54/L54),2)</f>
        <v>0</v>
      </c>
      <c r="S54" s="95">
        <f t="shared" ref="S54:S85" ca="1" si="13">ROUND(IF(Q54=0,0,Q54/L54),2)</f>
        <v>0</v>
      </c>
      <c r="T54" s="3" t="str">
        <f t="shared" ref="T54:T85" si="14">IF(M54=0,"",IF(N54=0,"Leistungswert eintragen",IF(O54=0,"SVS prüfen","")))</f>
        <v>Leistungswert eintragen</v>
      </c>
      <c r="U54" s="3">
        <f t="shared" ref="U54:U85" si="15">VLOOKUP(J54,$U$4:$V$13,2,FALSE)</f>
        <v>0</v>
      </c>
    </row>
    <row r="55" spans="1:21" ht="15" customHeight="1" x14ac:dyDescent="0.2">
      <c r="A55" s="153">
        <v>34</v>
      </c>
      <c r="B55" s="165" t="s">
        <v>345</v>
      </c>
      <c r="C55" s="166" t="s">
        <v>276</v>
      </c>
      <c r="D55" s="166" t="s">
        <v>317</v>
      </c>
      <c r="E55" s="166" t="s">
        <v>320</v>
      </c>
      <c r="F55" s="166" t="s">
        <v>287</v>
      </c>
      <c r="G55" s="167">
        <v>55.09</v>
      </c>
      <c r="H55" s="167"/>
      <c r="I55" s="167"/>
      <c r="J55" s="153" t="s">
        <v>401</v>
      </c>
      <c r="K55" s="167">
        <v>5</v>
      </c>
      <c r="L55" s="95">
        <f>VLOOKUP(K55,Reinigungstage!A10:C31,3,FALSE)</f>
        <v>190.33</v>
      </c>
      <c r="M55" s="95">
        <f t="shared" si="8"/>
        <v>10485.280000000001</v>
      </c>
      <c r="N55" s="168">
        <f t="shared" si="9"/>
        <v>0</v>
      </c>
      <c r="O55" s="95">
        <f ca="1">IF('SVS UnterhaltsRG'!H61="",0,'SVS UnterhaltsRG'!H61)</f>
        <v>0</v>
      </c>
      <c r="P55" s="95">
        <f t="shared" si="10"/>
        <v>0</v>
      </c>
      <c r="Q55" s="95">
        <f t="shared" ca="1" si="11"/>
        <v>0</v>
      </c>
      <c r="R55" s="95">
        <f t="shared" si="12"/>
        <v>0</v>
      </c>
      <c r="S55" s="95">
        <f t="shared" ca="1" si="13"/>
        <v>0</v>
      </c>
      <c r="T55" s="3" t="str">
        <f t="shared" si="14"/>
        <v>Leistungswert eintragen</v>
      </c>
      <c r="U55" s="3">
        <f t="shared" si="15"/>
        <v>0</v>
      </c>
    </row>
    <row r="56" spans="1:21" ht="15" customHeight="1" x14ac:dyDescent="0.2">
      <c r="A56" s="153">
        <v>35</v>
      </c>
      <c r="B56" s="165" t="s">
        <v>346</v>
      </c>
      <c r="C56" s="166" t="s">
        <v>276</v>
      </c>
      <c r="D56" s="166" t="s">
        <v>317</v>
      </c>
      <c r="E56" s="166" t="s">
        <v>320</v>
      </c>
      <c r="F56" s="166" t="s">
        <v>287</v>
      </c>
      <c r="G56" s="167">
        <v>55.37</v>
      </c>
      <c r="H56" s="167"/>
      <c r="I56" s="167"/>
      <c r="J56" s="153" t="s">
        <v>401</v>
      </c>
      <c r="K56" s="167">
        <v>5</v>
      </c>
      <c r="L56" s="95">
        <f>VLOOKUP(K56,Reinigungstage!A10:C31,3,FALSE)</f>
        <v>190.33</v>
      </c>
      <c r="M56" s="95">
        <f t="shared" si="8"/>
        <v>10538.57</v>
      </c>
      <c r="N56" s="168">
        <f t="shared" si="9"/>
        <v>0</v>
      </c>
      <c r="O56" s="95">
        <f ca="1">IF('SVS UnterhaltsRG'!H61="",0,'SVS UnterhaltsRG'!H61)</f>
        <v>0</v>
      </c>
      <c r="P56" s="95">
        <f t="shared" si="10"/>
        <v>0</v>
      </c>
      <c r="Q56" s="95">
        <f t="shared" ca="1" si="11"/>
        <v>0</v>
      </c>
      <c r="R56" s="95">
        <f t="shared" si="12"/>
        <v>0</v>
      </c>
      <c r="S56" s="95">
        <f t="shared" ca="1" si="13"/>
        <v>0</v>
      </c>
      <c r="T56" s="3" t="str">
        <f t="shared" si="14"/>
        <v>Leistungswert eintragen</v>
      </c>
      <c r="U56" s="3">
        <f t="shared" si="15"/>
        <v>0</v>
      </c>
    </row>
    <row r="57" spans="1:21" ht="15" customHeight="1" x14ac:dyDescent="0.2">
      <c r="A57" s="153">
        <v>36</v>
      </c>
      <c r="B57" s="165" t="s">
        <v>347</v>
      </c>
      <c r="C57" s="166" t="s">
        <v>276</v>
      </c>
      <c r="D57" s="166" t="s">
        <v>317</v>
      </c>
      <c r="E57" s="166" t="s">
        <v>321</v>
      </c>
      <c r="F57" s="166" t="s">
        <v>287</v>
      </c>
      <c r="G57" s="167">
        <v>15.45</v>
      </c>
      <c r="H57" s="167"/>
      <c r="I57" s="167"/>
      <c r="J57" s="153" t="s">
        <v>401</v>
      </c>
      <c r="K57" s="167">
        <v>1</v>
      </c>
      <c r="L57" s="95">
        <f>VLOOKUP(K57,Reinigungstage!A10:C31,3,FALSE)</f>
        <v>39.54</v>
      </c>
      <c r="M57" s="95">
        <f t="shared" si="8"/>
        <v>610.89</v>
      </c>
      <c r="N57" s="168">
        <f t="shared" si="9"/>
        <v>0</v>
      </c>
      <c r="O57" s="95">
        <f ca="1">IF('SVS UnterhaltsRG'!H61="",0,'SVS UnterhaltsRG'!H61)</f>
        <v>0</v>
      </c>
      <c r="P57" s="95">
        <f t="shared" si="10"/>
        <v>0</v>
      </c>
      <c r="Q57" s="95">
        <f t="shared" ca="1" si="11"/>
        <v>0</v>
      </c>
      <c r="R57" s="95">
        <f t="shared" si="12"/>
        <v>0</v>
      </c>
      <c r="S57" s="95">
        <f t="shared" ca="1" si="13"/>
        <v>0</v>
      </c>
      <c r="T57" s="3" t="str">
        <f t="shared" si="14"/>
        <v>Leistungswert eintragen</v>
      </c>
      <c r="U57" s="3">
        <f t="shared" si="15"/>
        <v>0</v>
      </c>
    </row>
    <row r="58" spans="1:21" ht="15" customHeight="1" x14ac:dyDescent="0.2">
      <c r="A58" s="153">
        <v>37</v>
      </c>
      <c r="B58" s="165" t="s">
        <v>348</v>
      </c>
      <c r="C58" s="166" t="s">
        <v>276</v>
      </c>
      <c r="D58" s="166" t="s">
        <v>317</v>
      </c>
      <c r="E58" s="166" t="s">
        <v>321</v>
      </c>
      <c r="F58" s="166" t="s">
        <v>287</v>
      </c>
      <c r="G58" s="167">
        <v>13.7</v>
      </c>
      <c r="H58" s="167"/>
      <c r="I58" s="167"/>
      <c r="J58" s="153" t="s">
        <v>401</v>
      </c>
      <c r="K58" s="167">
        <v>1</v>
      </c>
      <c r="L58" s="95">
        <f>VLOOKUP(K58,Reinigungstage!A10:C31,3,FALSE)</f>
        <v>39.54</v>
      </c>
      <c r="M58" s="95">
        <f t="shared" si="8"/>
        <v>541.70000000000005</v>
      </c>
      <c r="N58" s="168">
        <f t="shared" si="9"/>
        <v>0</v>
      </c>
      <c r="O58" s="95">
        <f ca="1">IF('SVS UnterhaltsRG'!H61="",0,'SVS UnterhaltsRG'!H61)</f>
        <v>0</v>
      </c>
      <c r="P58" s="95">
        <f t="shared" si="10"/>
        <v>0</v>
      </c>
      <c r="Q58" s="95">
        <f t="shared" ca="1" si="11"/>
        <v>0</v>
      </c>
      <c r="R58" s="95">
        <f t="shared" si="12"/>
        <v>0</v>
      </c>
      <c r="S58" s="95">
        <f t="shared" ca="1" si="13"/>
        <v>0</v>
      </c>
      <c r="T58" s="3" t="str">
        <f t="shared" si="14"/>
        <v>Leistungswert eintragen</v>
      </c>
      <c r="U58" s="3">
        <f t="shared" si="15"/>
        <v>0</v>
      </c>
    </row>
    <row r="59" spans="1:21" ht="15" customHeight="1" x14ac:dyDescent="0.2">
      <c r="A59" s="153">
        <v>38</v>
      </c>
      <c r="B59" s="165" t="s">
        <v>349</v>
      </c>
      <c r="C59" s="166" t="s">
        <v>276</v>
      </c>
      <c r="D59" s="166" t="s">
        <v>317</v>
      </c>
      <c r="E59" s="166" t="s">
        <v>320</v>
      </c>
      <c r="F59" s="166" t="s">
        <v>287</v>
      </c>
      <c r="G59" s="167">
        <v>55.66</v>
      </c>
      <c r="H59" s="167"/>
      <c r="I59" s="167"/>
      <c r="J59" s="153" t="s">
        <v>401</v>
      </c>
      <c r="K59" s="167">
        <v>5</v>
      </c>
      <c r="L59" s="95">
        <f>VLOOKUP(K59,Reinigungstage!A10:C31,3,FALSE)</f>
        <v>190.33</v>
      </c>
      <c r="M59" s="95">
        <f t="shared" si="8"/>
        <v>10593.77</v>
      </c>
      <c r="N59" s="168">
        <f t="shared" si="9"/>
        <v>0</v>
      </c>
      <c r="O59" s="95">
        <f ca="1">IF('SVS UnterhaltsRG'!H61="",0,'SVS UnterhaltsRG'!H61)</f>
        <v>0</v>
      </c>
      <c r="P59" s="95">
        <f t="shared" si="10"/>
        <v>0</v>
      </c>
      <c r="Q59" s="95">
        <f t="shared" ca="1" si="11"/>
        <v>0</v>
      </c>
      <c r="R59" s="95">
        <f t="shared" si="12"/>
        <v>0</v>
      </c>
      <c r="S59" s="95">
        <f t="shared" ca="1" si="13"/>
        <v>0</v>
      </c>
      <c r="T59" s="3" t="str">
        <f t="shared" si="14"/>
        <v>Leistungswert eintragen</v>
      </c>
      <c r="U59" s="3">
        <f t="shared" si="15"/>
        <v>0</v>
      </c>
    </row>
    <row r="60" spans="1:21" ht="15" customHeight="1" x14ac:dyDescent="0.2">
      <c r="A60" s="153">
        <v>39</v>
      </c>
      <c r="B60" s="165" t="s">
        <v>350</v>
      </c>
      <c r="C60" s="166" t="s">
        <v>276</v>
      </c>
      <c r="D60" s="166" t="s">
        <v>317</v>
      </c>
      <c r="E60" s="166" t="s">
        <v>320</v>
      </c>
      <c r="F60" s="166" t="s">
        <v>287</v>
      </c>
      <c r="G60" s="167">
        <v>52.29</v>
      </c>
      <c r="H60" s="167">
        <v>9.56</v>
      </c>
      <c r="I60" s="167"/>
      <c r="J60" s="153" t="s">
        <v>401</v>
      </c>
      <c r="K60" s="167">
        <v>5</v>
      </c>
      <c r="L60" s="95">
        <f>VLOOKUP(K60,Reinigungstage!A10:C31,3,FALSE)</f>
        <v>190.33</v>
      </c>
      <c r="M60" s="95">
        <f t="shared" si="8"/>
        <v>9952.36</v>
      </c>
      <c r="N60" s="168">
        <f t="shared" si="9"/>
        <v>0</v>
      </c>
      <c r="O60" s="95">
        <f ca="1">IF('SVS UnterhaltsRG'!H61="",0,'SVS UnterhaltsRG'!H61)</f>
        <v>0</v>
      </c>
      <c r="P60" s="95">
        <f t="shared" si="10"/>
        <v>0</v>
      </c>
      <c r="Q60" s="95">
        <f t="shared" ca="1" si="11"/>
        <v>0</v>
      </c>
      <c r="R60" s="95">
        <f t="shared" si="12"/>
        <v>0</v>
      </c>
      <c r="S60" s="95">
        <f t="shared" ca="1" si="13"/>
        <v>0</v>
      </c>
      <c r="T60" s="3" t="str">
        <f t="shared" si="14"/>
        <v>Leistungswert eintragen</v>
      </c>
      <c r="U60" s="3">
        <f t="shared" si="15"/>
        <v>0</v>
      </c>
    </row>
    <row r="61" spans="1:21" ht="15" customHeight="1" x14ac:dyDescent="0.2">
      <c r="A61" s="153">
        <v>40</v>
      </c>
      <c r="B61" s="165"/>
      <c r="C61" s="166" t="s">
        <v>276</v>
      </c>
      <c r="D61" s="166" t="s">
        <v>317</v>
      </c>
      <c r="E61" s="166" t="s">
        <v>351</v>
      </c>
      <c r="F61" s="166" t="s">
        <v>293</v>
      </c>
      <c r="G61" s="167">
        <v>35.020000000000003</v>
      </c>
      <c r="H61" s="167"/>
      <c r="I61" s="167"/>
      <c r="J61" s="153" t="s">
        <v>313</v>
      </c>
      <c r="K61" s="167">
        <v>5</v>
      </c>
      <c r="L61" s="95">
        <f>VLOOKUP(K61,Reinigungstage!A10:C31,3,FALSE)</f>
        <v>190.33</v>
      </c>
      <c r="M61" s="95">
        <f t="shared" si="8"/>
        <v>6665.36</v>
      </c>
      <c r="N61" s="168">
        <f t="shared" si="9"/>
        <v>0</v>
      </c>
      <c r="O61" s="95">
        <f ca="1">IF('SVS UnterhaltsRG'!H61="",0,'SVS UnterhaltsRG'!H61)</f>
        <v>0</v>
      </c>
      <c r="P61" s="95">
        <f t="shared" si="10"/>
        <v>0</v>
      </c>
      <c r="Q61" s="95">
        <f t="shared" ca="1" si="11"/>
        <v>0</v>
      </c>
      <c r="R61" s="95">
        <f t="shared" si="12"/>
        <v>0</v>
      </c>
      <c r="S61" s="95">
        <f t="shared" ca="1" si="13"/>
        <v>0</v>
      </c>
      <c r="T61" s="3" t="str">
        <f t="shared" si="14"/>
        <v>Leistungswert eintragen</v>
      </c>
      <c r="U61" s="3">
        <f t="shared" si="15"/>
        <v>0</v>
      </c>
    </row>
    <row r="62" spans="1:21" ht="15" customHeight="1" x14ac:dyDescent="0.2">
      <c r="A62" s="153">
        <v>41</v>
      </c>
      <c r="B62" s="165"/>
      <c r="C62" s="166" t="s">
        <v>276</v>
      </c>
      <c r="D62" s="166" t="s">
        <v>325</v>
      </c>
      <c r="E62" s="166" t="s">
        <v>288</v>
      </c>
      <c r="F62" s="166" t="s">
        <v>293</v>
      </c>
      <c r="G62" s="167">
        <v>24.8</v>
      </c>
      <c r="H62" s="167"/>
      <c r="I62" s="167"/>
      <c r="J62" s="153" t="s">
        <v>313</v>
      </c>
      <c r="K62" s="167">
        <v>5</v>
      </c>
      <c r="L62" s="95">
        <f>VLOOKUP(K62,Reinigungstage!A10:C31,3,FALSE)</f>
        <v>190.33</v>
      </c>
      <c r="M62" s="95">
        <f t="shared" si="8"/>
        <v>4720.18</v>
      </c>
      <c r="N62" s="168">
        <f t="shared" si="9"/>
        <v>0</v>
      </c>
      <c r="O62" s="95">
        <f ca="1">IF('SVS UnterhaltsRG'!H61="",0,'SVS UnterhaltsRG'!H61)</f>
        <v>0</v>
      </c>
      <c r="P62" s="95">
        <f t="shared" si="10"/>
        <v>0</v>
      </c>
      <c r="Q62" s="95">
        <f t="shared" ca="1" si="11"/>
        <v>0</v>
      </c>
      <c r="R62" s="95">
        <f t="shared" si="12"/>
        <v>0</v>
      </c>
      <c r="S62" s="95">
        <f t="shared" ca="1" si="13"/>
        <v>0</v>
      </c>
      <c r="T62" s="3" t="str">
        <f t="shared" si="14"/>
        <v>Leistungswert eintragen</v>
      </c>
      <c r="U62" s="3">
        <f t="shared" si="15"/>
        <v>0</v>
      </c>
    </row>
    <row r="63" spans="1:21" ht="15" customHeight="1" x14ac:dyDescent="0.2">
      <c r="A63" s="153">
        <v>42</v>
      </c>
      <c r="B63" s="165" t="s">
        <v>352</v>
      </c>
      <c r="C63" s="166" t="s">
        <v>276</v>
      </c>
      <c r="D63" s="166" t="s">
        <v>325</v>
      </c>
      <c r="E63" s="166" t="s">
        <v>291</v>
      </c>
      <c r="F63" s="166" t="s">
        <v>287</v>
      </c>
      <c r="G63" s="167">
        <v>16.190000000000001</v>
      </c>
      <c r="H63" s="167"/>
      <c r="I63" s="167"/>
      <c r="J63" s="153" t="s">
        <v>291</v>
      </c>
      <c r="K63" s="167">
        <v>5</v>
      </c>
      <c r="L63" s="95">
        <f>VLOOKUP(K63,Reinigungstage!A10:C31,3,FALSE)</f>
        <v>190.33</v>
      </c>
      <c r="M63" s="95">
        <f t="shared" si="8"/>
        <v>3081.44</v>
      </c>
      <c r="N63" s="168">
        <f t="shared" si="9"/>
        <v>0</v>
      </c>
      <c r="O63" s="95">
        <f ca="1">IF('SVS UnterhaltsRG'!H61="",0,'SVS UnterhaltsRG'!H61)</f>
        <v>0</v>
      </c>
      <c r="P63" s="95">
        <f t="shared" si="10"/>
        <v>0</v>
      </c>
      <c r="Q63" s="95">
        <f t="shared" ca="1" si="11"/>
        <v>0</v>
      </c>
      <c r="R63" s="95">
        <f t="shared" si="12"/>
        <v>0</v>
      </c>
      <c r="S63" s="95">
        <f t="shared" ca="1" si="13"/>
        <v>0</v>
      </c>
      <c r="T63" s="3" t="str">
        <f t="shared" si="14"/>
        <v>Leistungswert eintragen</v>
      </c>
      <c r="U63" s="3">
        <f t="shared" si="15"/>
        <v>0</v>
      </c>
    </row>
    <row r="64" spans="1:21" ht="15" customHeight="1" x14ac:dyDescent="0.2">
      <c r="A64" s="153">
        <v>43</v>
      </c>
      <c r="B64" s="165" t="s">
        <v>353</v>
      </c>
      <c r="C64" s="166" t="s">
        <v>276</v>
      </c>
      <c r="D64" s="166" t="s">
        <v>325</v>
      </c>
      <c r="E64" s="166" t="s">
        <v>320</v>
      </c>
      <c r="F64" s="166" t="s">
        <v>287</v>
      </c>
      <c r="G64" s="167">
        <v>47.37</v>
      </c>
      <c r="H64" s="167"/>
      <c r="I64" s="167"/>
      <c r="J64" s="153" t="s">
        <v>401</v>
      </c>
      <c r="K64" s="167">
        <v>5</v>
      </c>
      <c r="L64" s="95">
        <f>VLOOKUP(K64,Reinigungstage!A10:C31,3,FALSE)</f>
        <v>190.33</v>
      </c>
      <c r="M64" s="95">
        <f t="shared" si="8"/>
        <v>9015.93</v>
      </c>
      <c r="N64" s="168">
        <f t="shared" si="9"/>
        <v>0</v>
      </c>
      <c r="O64" s="95">
        <f ca="1">IF('SVS UnterhaltsRG'!H61="",0,'SVS UnterhaltsRG'!H61)</f>
        <v>0</v>
      </c>
      <c r="P64" s="95">
        <f t="shared" si="10"/>
        <v>0</v>
      </c>
      <c r="Q64" s="95">
        <f t="shared" ca="1" si="11"/>
        <v>0</v>
      </c>
      <c r="R64" s="95">
        <f t="shared" si="12"/>
        <v>0</v>
      </c>
      <c r="S64" s="95">
        <f t="shared" ca="1" si="13"/>
        <v>0</v>
      </c>
      <c r="T64" s="3" t="str">
        <f t="shared" si="14"/>
        <v>Leistungswert eintragen</v>
      </c>
      <c r="U64" s="3">
        <f t="shared" si="15"/>
        <v>0</v>
      </c>
    </row>
    <row r="65" spans="1:21" ht="15" customHeight="1" x14ac:dyDescent="0.2">
      <c r="A65" s="153">
        <v>44</v>
      </c>
      <c r="B65" s="165" t="s">
        <v>354</v>
      </c>
      <c r="C65" s="166" t="s">
        <v>276</v>
      </c>
      <c r="D65" s="166" t="s">
        <v>325</v>
      </c>
      <c r="E65" s="166" t="s">
        <v>355</v>
      </c>
      <c r="F65" s="166" t="s">
        <v>287</v>
      </c>
      <c r="G65" s="167">
        <v>11.19</v>
      </c>
      <c r="H65" s="167"/>
      <c r="I65" s="167"/>
      <c r="J65" s="153" t="s">
        <v>402</v>
      </c>
      <c r="K65" s="167">
        <v>5</v>
      </c>
      <c r="L65" s="95">
        <f>VLOOKUP(K65,Reinigungstage!A10:C31,3,FALSE)</f>
        <v>190.33</v>
      </c>
      <c r="M65" s="95">
        <f t="shared" si="8"/>
        <v>2129.79</v>
      </c>
      <c r="N65" s="168">
        <f t="shared" si="9"/>
        <v>0</v>
      </c>
      <c r="O65" s="95">
        <f ca="1">IF('SVS UnterhaltsRG'!H61="",0,'SVS UnterhaltsRG'!H61)</f>
        <v>0</v>
      </c>
      <c r="P65" s="95">
        <f t="shared" si="10"/>
        <v>0</v>
      </c>
      <c r="Q65" s="95">
        <f t="shared" ca="1" si="11"/>
        <v>0</v>
      </c>
      <c r="R65" s="95">
        <f t="shared" si="12"/>
        <v>0</v>
      </c>
      <c r="S65" s="95">
        <f t="shared" ca="1" si="13"/>
        <v>0</v>
      </c>
      <c r="T65" s="3" t="str">
        <f t="shared" si="14"/>
        <v>Leistungswert eintragen</v>
      </c>
      <c r="U65" s="3">
        <f t="shared" si="15"/>
        <v>0</v>
      </c>
    </row>
    <row r="66" spans="1:21" ht="15" customHeight="1" x14ac:dyDescent="0.2">
      <c r="A66" s="153">
        <v>45</v>
      </c>
      <c r="B66" s="165" t="s">
        <v>356</v>
      </c>
      <c r="C66" s="166" t="s">
        <v>276</v>
      </c>
      <c r="D66" s="166" t="s">
        <v>325</v>
      </c>
      <c r="E66" s="166" t="s">
        <v>357</v>
      </c>
      <c r="F66" s="166" t="s">
        <v>287</v>
      </c>
      <c r="G66" s="167">
        <v>31.9</v>
      </c>
      <c r="H66" s="167"/>
      <c r="I66" s="167"/>
      <c r="J66" s="153" t="s">
        <v>315</v>
      </c>
      <c r="K66" s="167">
        <v>5</v>
      </c>
      <c r="L66" s="95">
        <f>VLOOKUP(K66,Reinigungstage!A10:C31,3,FALSE)</f>
        <v>190.33</v>
      </c>
      <c r="M66" s="95">
        <f t="shared" si="8"/>
        <v>6071.53</v>
      </c>
      <c r="N66" s="168">
        <f t="shared" si="9"/>
        <v>0</v>
      </c>
      <c r="O66" s="95">
        <f ca="1">IF('SVS UnterhaltsRG'!H61="",0,'SVS UnterhaltsRG'!H61)</f>
        <v>0</v>
      </c>
      <c r="P66" s="95">
        <f t="shared" si="10"/>
        <v>0</v>
      </c>
      <c r="Q66" s="95">
        <f t="shared" ca="1" si="11"/>
        <v>0</v>
      </c>
      <c r="R66" s="95">
        <f t="shared" si="12"/>
        <v>0</v>
      </c>
      <c r="S66" s="95">
        <f t="shared" ca="1" si="13"/>
        <v>0</v>
      </c>
      <c r="T66" s="3" t="str">
        <f t="shared" si="14"/>
        <v>Leistungswert eintragen</v>
      </c>
      <c r="U66" s="3">
        <f t="shared" si="15"/>
        <v>0</v>
      </c>
    </row>
    <row r="67" spans="1:21" ht="15" customHeight="1" x14ac:dyDescent="0.2">
      <c r="A67" s="153">
        <v>46</v>
      </c>
      <c r="B67" s="165"/>
      <c r="C67" s="166" t="s">
        <v>276</v>
      </c>
      <c r="D67" s="166" t="s">
        <v>325</v>
      </c>
      <c r="E67" s="166" t="s">
        <v>304</v>
      </c>
      <c r="F67" s="166" t="s">
        <v>287</v>
      </c>
      <c r="G67" s="167">
        <v>3.7</v>
      </c>
      <c r="H67" s="167"/>
      <c r="I67" s="167"/>
      <c r="J67" s="153" t="s">
        <v>312</v>
      </c>
      <c r="K67" s="153" t="s">
        <v>162</v>
      </c>
      <c r="L67" s="95">
        <f>VLOOKUP(K67,Reinigungstage!A10:C31,3,FALSE)</f>
        <v>11</v>
      </c>
      <c r="M67" s="95">
        <f t="shared" si="8"/>
        <v>40.700000000000003</v>
      </c>
      <c r="N67" s="168">
        <f t="shared" si="9"/>
        <v>0</v>
      </c>
      <c r="O67" s="95">
        <f ca="1">IF('SVS UnterhaltsRG'!H61="",0,'SVS UnterhaltsRG'!H61)</f>
        <v>0</v>
      </c>
      <c r="P67" s="95">
        <f t="shared" si="10"/>
        <v>0</v>
      </c>
      <c r="Q67" s="95">
        <f t="shared" ca="1" si="11"/>
        <v>0</v>
      </c>
      <c r="R67" s="95">
        <f t="shared" si="12"/>
        <v>0</v>
      </c>
      <c r="S67" s="95">
        <f t="shared" ca="1" si="13"/>
        <v>0</v>
      </c>
      <c r="T67" s="3" t="str">
        <f t="shared" si="14"/>
        <v>Leistungswert eintragen</v>
      </c>
      <c r="U67" s="3">
        <f t="shared" si="15"/>
        <v>0</v>
      </c>
    </row>
    <row r="68" spans="1:21" ht="15" customHeight="1" x14ac:dyDescent="0.2">
      <c r="A68" s="153">
        <v>47</v>
      </c>
      <c r="B68" s="165" t="s">
        <v>358</v>
      </c>
      <c r="C68" s="166" t="s">
        <v>276</v>
      </c>
      <c r="D68" s="166" t="s">
        <v>325</v>
      </c>
      <c r="E68" s="166" t="s">
        <v>337</v>
      </c>
      <c r="F68" s="166" t="s">
        <v>287</v>
      </c>
      <c r="G68" s="167">
        <v>47.5</v>
      </c>
      <c r="H68" s="167">
        <v>7.77</v>
      </c>
      <c r="I68" s="167"/>
      <c r="J68" s="153" t="s">
        <v>401</v>
      </c>
      <c r="K68" s="167">
        <v>5</v>
      </c>
      <c r="L68" s="95">
        <f>VLOOKUP(K68,Reinigungstage!A10:C31,3,FALSE)</f>
        <v>190.33</v>
      </c>
      <c r="M68" s="95">
        <f t="shared" si="8"/>
        <v>9040.68</v>
      </c>
      <c r="N68" s="168">
        <f t="shared" si="9"/>
        <v>0</v>
      </c>
      <c r="O68" s="95">
        <f ca="1">IF('SVS UnterhaltsRG'!H61="",0,'SVS UnterhaltsRG'!H61)</f>
        <v>0</v>
      </c>
      <c r="P68" s="95">
        <f t="shared" si="10"/>
        <v>0</v>
      </c>
      <c r="Q68" s="95">
        <f t="shared" ca="1" si="11"/>
        <v>0</v>
      </c>
      <c r="R68" s="95">
        <f t="shared" si="12"/>
        <v>0</v>
      </c>
      <c r="S68" s="95">
        <f t="shared" ca="1" si="13"/>
        <v>0</v>
      </c>
      <c r="T68" s="3" t="str">
        <f t="shared" si="14"/>
        <v>Leistungswert eintragen</v>
      </c>
      <c r="U68" s="3">
        <f t="shared" si="15"/>
        <v>0</v>
      </c>
    </row>
    <row r="69" spans="1:21" ht="15" customHeight="1" x14ac:dyDescent="0.2">
      <c r="A69" s="153">
        <v>48</v>
      </c>
      <c r="B69" s="165"/>
      <c r="C69" s="166" t="s">
        <v>276</v>
      </c>
      <c r="D69" s="166" t="s">
        <v>325</v>
      </c>
      <c r="E69" s="166" t="s">
        <v>359</v>
      </c>
      <c r="F69" s="166" t="s">
        <v>293</v>
      </c>
      <c r="G69" s="167">
        <v>50.87</v>
      </c>
      <c r="H69" s="167"/>
      <c r="I69" s="167"/>
      <c r="J69" s="153" t="s">
        <v>313</v>
      </c>
      <c r="K69" s="167">
        <v>5</v>
      </c>
      <c r="L69" s="95">
        <f>VLOOKUP(K69,Reinigungstage!A10:C31,3,FALSE)</f>
        <v>190.33</v>
      </c>
      <c r="M69" s="95">
        <f t="shared" si="8"/>
        <v>9682.09</v>
      </c>
      <c r="N69" s="168">
        <f t="shared" si="9"/>
        <v>0</v>
      </c>
      <c r="O69" s="95">
        <f ca="1">IF('SVS UnterhaltsRG'!H61="",0,'SVS UnterhaltsRG'!H61)</f>
        <v>0</v>
      </c>
      <c r="P69" s="95">
        <f t="shared" si="10"/>
        <v>0</v>
      </c>
      <c r="Q69" s="95">
        <f t="shared" ca="1" si="11"/>
        <v>0</v>
      </c>
      <c r="R69" s="95">
        <f t="shared" si="12"/>
        <v>0</v>
      </c>
      <c r="S69" s="95">
        <f t="shared" ca="1" si="13"/>
        <v>0</v>
      </c>
      <c r="T69" s="3" t="str">
        <f t="shared" si="14"/>
        <v>Leistungswert eintragen</v>
      </c>
      <c r="U69" s="3">
        <f t="shared" si="15"/>
        <v>0</v>
      </c>
    </row>
    <row r="70" spans="1:21" ht="15" customHeight="1" x14ac:dyDescent="0.2">
      <c r="A70" s="153">
        <v>49</v>
      </c>
      <c r="B70" s="165"/>
      <c r="C70" s="166" t="s">
        <v>276</v>
      </c>
      <c r="D70" s="166" t="s">
        <v>325</v>
      </c>
      <c r="E70" s="166" t="s">
        <v>310</v>
      </c>
      <c r="F70" s="166" t="s">
        <v>334</v>
      </c>
      <c r="G70" s="167">
        <v>6.54</v>
      </c>
      <c r="H70" s="167"/>
      <c r="I70" s="167"/>
      <c r="J70" s="153" t="s">
        <v>310</v>
      </c>
      <c r="K70" s="167">
        <v>5</v>
      </c>
      <c r="L70" s="95">
        <f>VLOOKUP(K70,Reinigungstage!A10:C31,3,FALSE)</f>
        <v>190.33</v>
      </c>
      <c r="M70" s="95">
        <f t="shared" si="8"/>
        <v>1244.76</v>
      </c>
      <c r="N70" s="168">
        <f t="shared" si="9"/>
        <v>0</v>
      </c>
      <c r="O70" s="95">
        <f ca="1">IF('SVS UnterhaltsRG'!H61="",0,'SVS UnterhaltsRG'!H61)</f>
        <v>0</v>
      </c>
      <c r="P70" s="95">
        <f t="shared" si="10"/>
        <v>0</v>
      </c>
      <c r="Q70" s="95">
        <f t="shared" ca="1" si="11"/>
        <v>0</v>
      </c>
      <c r="R70" s="95">
        <f t="shared" si="12"/>
        <v>0</v>
      </c>
      <c r="S70" s="95">
        <f t="shared" ca="1" si="13"/>
        <v>0</v>
      </c>
      <c r="T70" s="3" t="str">
        <f t="shared" si="14"/>
        <v>Leistungswert eintragen</v>
      </c>
      <c r="U70" s="3">
        <f t="shared" si="15"/>
        <v>0</v>
      </c>
    </row>
    <row r="71" spans="1:21" ht="15" customHeight="1" x14ac:dyDescent="0.2">
      <c r="A71" s="153">
        <v>50</v>
      </c>
      <c r="B71" s="165"/>
      <c r="C71" s="166" t="s">
        <v>276</v>
      </c>
      <c r="D71" s="166" t="s">
        <v>325</v>
      </c>
      <c r="E71" s="166" t="s">
        <v>309</v>
      </c>
      <c r="F71" s="166" t="s">
        <v>334</v>
      </c>
      <c r="G71" s="167">
        <v>4.3899999999999997</v>
      </c>
      <c r="H71" s="167"/>
      <c r="I71" s="167"/>
      <c r="J71" s="153" t="s">
        <v>310</v>
      </c>
      <c r="K71" s="167">
        <v>5</v>
      </c>
      <c r="L71" s="95">
        <f>VLOOKUP(K71,Reinigungstage!A10:C31,3,FALSE)</f>
        <v>190.33</v>
      </c>
      <c r="M71" s="95">
        <f t="shared" si="8"/>
        <v>835.55</v>
      </c>
      <c r="N71" s="168">
        <f t="shared" si="9"/>
        <v>0</v>
      </c>
      <c r="O71" s="95">
        <f ca="1">IF('SVS UnterhaltsRG'!H61="",0,'SVS UnterhaltsRG'!H61)</f>
        <v>0</v>
      </c>
      <c r="P71" s="95">
        <f t="shared" si="10"/>
        <v>0</v>
      </c>
      <c r="Q71" s="95">
        <f t="shared" ca="1" si="11"/>
        <v>0</v>
      </c>
      <c r="R71" s="95">
        <f t="shared" si="12"/>
        <v>0</v>
      </c>
      <c r="S71" s="95">
        <f t="shared" ca="1" si="13"/>
        <v>0</v>
      </c>
      <c r="T71" s="3" t="str">
        <f t="shared" si="14"/>
        <v>Leistungswert eintragen</v>
      </c>
      <c r="U71" s="3">
        <f t="shared" si="15"/>
        <v>0</v>
      </c>
    </row>
    <row r="72" spans="1:21" ht="15" customHeight="1" x14ac:dyDescent="0.2">
      <c r="A72" s="153">
        <v>51</v>
      </c>
      <c r="B72" s="165"/>
      <c r="C72" s="166" t="s">
        <v>276</v>
      </c>
      <c r="D72" s="166" t="s">
        <v>325</v>
      </c>
      <c r="E72" s="166" t="s">
        <v>310</v>
      </c>
      <c r="F72" s="166" t="s">
        <v>334</v>
      </c>
      <c r="G72" s="167">
        <v>1.75</v>
      </c>
      <c r="H72" s="167"/>
      <c r="I72" s="167"/>
      <c r="J72" s="153" t="s">
        <v>310</v>
      </c>
      <c r="K72" s="167">
        <v>5</v>
      </c>
      <c r="L72" s="95">
        <f>VLOOKUP(K72,Reinigungstage!A10:C31,3,FALSE)</f>
        <v>190.33</v>
      </c>
      <c r="M72" s="95">
        <f t="shared" si="8"/>
        <v>333.08</v>
      </c>
      <c r="N72" s="168">
        <f t="shared" si="9"/>
        <v>0</v>
      </c>
      <c r="O72" s="95">
        <f ca="1">IF('SVS UnterhaltsRG'!H61="",0,'SVS UnterhaltsRG'!H61)</f>
        <v>0</v>
      </c>
      <c r="P72" s="95">
        <f t="shared" si="10"/>
        <v>0</v>
      </c>
      <c r="Q72" s="95">
        <f t="shared" ca="1" si="11"/>
        <v>0</v>
      </c>
      <c r="R72" s="95">
        <f t="shared" si="12"/>
        <v>0</v>
      </c>
      <c r="S72" s="95">
        <f t="shared" ca="1" si="13"/>
        <v>0</v>
      </c>
      <c r="T72" s="3" t="str">
        <f t="shared" si="14"/>
        <v>Leistungswert eintragen</v>
      </c>
      <c r="U72" s="3">
        <f t="shared" si="15"/>
        <v>0</v>
      </c>
    </row>
    <row r="73" spans="1:21" ht="15" customHeight="1" x14ac:dyDescent="0.2">
      <c r="A73" s="153">
        <v>52</v>
      </c>
      <c r="B73" s="165"/>
      <c r="C73" s="166" t="s">
        <v>276</v>
      </c>
      <c r="D73" s="166" t="s">
        <v>335</v>
      </c>
      <c r="E73" s="166" t="s">
        <v>310</v>
      </c>
      <c r="F73" s="166" t="s">
        <v>293</v>
      </c>
      <c r="G73" s="167">
        <v>5.51</v>
      </c>
      <c r="H73" s="167"/>
      <c r="I73" s="167"/>
      <c r="J73" s="153" t="s">
        <v>310</v>
      </c>
      <c r="K73" s="167">
        <v>5</v>
      </c>
      <c r="L73" s="95">
        <f>VLOOKUP(K73,Reinigungstage!A10:C31,3,FALSE)</f>
        <v>190.33</v>
      </c>
      <c r="M73" s="95">
        <f t="shared" si="8"/>
        <v>1048.72</v>
      </c>
      <c r="N73" s="168">
        <f t="shared" si="9"/>
        <v>0</v>
      </c>
      <c r="O73" s="95">
        <f ca="1">IF('SVS UnterhaltsRG'!H61="",0,'SVS UnterhaltsRG'!H61)</f>
        <v>0</v>
      </c>
      <c r="P73" s="95">
        <f t="shared" si="10"/>
        <v>0</v>
      </c>
      <c r="Q73" s="95">
        <f t="shared" ca="1" si="11"/>
        <v>0</v>
      </c>
      <c r="R73" s="95">
        <f t="shared" si="12"/>
        <v>0</v>
      </c>
      <c r="S73" s="95">
        <f t="shared" ca="1" si="13"/>
        <v>0</v>
      </c>
      <c r="T73" s="3" t="str">
        <f t="shared" si="14"/>
        <v>Leistungswert eintragen</v>
      </c>
      <c r="U73" s="3">
        <f t="shared" si="15"/>
        <v>0</v>
      </c>
    </row>
    <row r="74" spans="1:21" ht="15" customHeight="1" x14ac:dyDescent="0.2">
      <c r="A74" s="153">
        <v>53</v>
      </c>
      <c r="B74" s="165" t="s">
        <v>360</v>
      </c>
      <c r="C74" s="166" t="s">
        <v>276</v>
      </c>
      <c r="D74" s="166" t="s">
        <v>335</v>
      </c>
      <c r="E74" s="166" t="s">
        <v>283</v>
      </c>
      <c r="F74" s="166" t="s">
        <v>293</v>
      </c>
      <c r="G74" s="167">
        <v>55.92</v>
      </c>
      <c r="H74" s="167"/>
      <c r="I74" s="167">
        <v>2</v>
      </c>
      <c r="J74" s="153" t="s">
        <v>313</v>
      </c>
      <c r="K74" s="167">
        <v>5</v>
      </c>
      <c r="L74" s="95">
        <f>VLOOKUP(K74,Reinigungstage!A10:C31,3,FALSE)</f>
        <v>190.33</v>
      </c>
      <c r="M74" s="95">
        <f t="shared" si="8"/>
        <v>10643.25</v>
      </c>
      <c r="N74" s="168">
        <f t="shared" si="9"/>
        <v>0</v>
      </c>
      <c r="O74" s="95">
        <f ca="1">IF('SVS UnterhaltsRG'!H61="",0,'SVS UnterhaltsRG'!H61)</f>
        <v>0</v>
      </c>
      <c r="P74" s="95">
        <f t="shared" si="10"/>
        <v>0</v>
      </c>
      <c r="Q74" s="95">
        <f t="shared" ca="1" si="11"/>
        <v>0</v>
      </c>
      <c r="R74" s="95">
        <f t="shared" si="12"/>
        <v>0</v>
      </c>
      <c r="S74" s="95">
        <f t="shared" ca="1" si="13"/>
        <v>0</v>
      </c>
      <c r="T74" s="3" t="str">
        <f t="shared" si="14"/>
        <v>Leistungswert eintragen</v>
      </c>
      <c r="U74" s="3">
        <f t="shared" si="15"/>
        <v>0</v>
      </c>
    </row>
    <row r="75" spans="1:21" ht="15" customHeight="1" x14ac:dyDescent="0.2">
      <c r="A75" s="153">
        <v>54</v>
      </c>
      <c r="B75" s="165"/>
      <c r="C75" s="166" t="s">
        <v>276</v>
      </c>
      <c r="D75" s="166" t="s">
        <v>335</v>
      </c>
      <c r="E75" s="166" t="s">
        <v>361</v>
      </c>
      <c r="F75" s="166" t="s">
        <v>362</v>
      </c>
      <c r="G75" s="167">
        <v>1.8</v>
      </c>
      <c r="H75" s="167"/>
      <c r="I75" s="167"/>
      <c r="J75" s="153" t="s">
        <v>310</v>
      </c>
      <c r="K75" s="167">
        <v>5</v>
      </c>
      <c r="L75" s="95">
        <f>VLOOKUP(K75,Reinigungstage!A10:C31,3,FALSE)</f>
        <v>190.33</v>
      </c>
      <c r="M75" s="95">
        <f t="shared" si="8"/>
        <v>342.59</v>
      </c>
      <c r="N75" s="168">
        <f t="shared" si="9"/>
        <v>0</v>
      </c>
      <c r="O75" s="95">
        <f ca="1">IF('SVS UnterhaltsRG'!H61="",0,'SVS UnterhaltsRG'!H61)</f>
        <v>0</v>
      </c>
      <c r="P75" s="95">
        <f t="shared" si="10"/>
        <v>0</v>
      </c>
      <c r="Q75" s="95">
        <f t="shared" ca="1" si="11"/>
        <v>0</v>
      </c>
      <c r="R75" s="95">
        <f t="shared" si="12"/>
        <v>0</v>
      </c>
      <c r="S75" s="95">
        <f t="shared" ca="1" si="13"/>
        <v>0</v>
      </c>
      <c r="T75" s="3" t="str">
        <f t="shared" si="14"/>
        <v>Leistungswert eintragen</v>
      </c>
      <c r="U75" s="3">
        <f t="shared" si="15"/>
        <v>0</v>
      </c>
    </row>
    <row r="76" spans="1:21" ht="15" customHeight="1" x14ac:dyDescent="0.2">
      <c r="A76" s="153">
        <v>55</v>
      </c>
      <c r="B76" s="165"/>
      <c r="C76" s="166" t="s">
        <v>276</v>
      </c>
      <c r="D76" s="166" t="s">
        <v>335</v>
      </c>
      <c r="E76" s="166" t="s">
        <v>296</v>
      </c>
      <c r="F76" s="166" t="s">
        <v>293</v>
      </c>
      <c r="G76" s="167">
        <v>6.7</v>
      </c>
      <c r="H76" s="167"/>
      <c r="I76" s="167"/>
      <c r="J76" s="153" t="s">
        <v>314</v>
      </c>
      <c r="K76" s="167">
        <v>5</v>
      </c>
      <c r="L76" s="95">
        <f>VLOOKUP(K76,Reinigungstage!A10:C31,3,FALSE)</f>
        <v>190.33</v>
      </c>
      <c r="M76" s="95">
        <f t="shared" si="8"/>
        <v>1275.21</v>
      </c>
      <c r="N76" s="168">
        <f t="shared" si="9"/>
        <v>0</v>
      </c>
      <c r="O76" s="95">
        <f ca="1">IF('SVS UnterhaltsRG'!H61="",0,'SVS UnterhaltsRG'!H61)</f>
        <v>0</v>
      </c>
      <c r="P76" s="95">
        <f t="shared" si="10"/>
        <v>0</v>
      </c>
      <c r="Q76" s="95">
        <f t="shared" ca="1" si="11"/>
        <v>0</v>
      </c>
      <c r="R76" s="95">
        <f t="shared" si="12"/>
        <v>0</v>
      </c>
      <c r="S76" s="95">
        <f t="shared" ca="1" si="13"/>
        <v>0</v>
      </c>
      <c r="T76" s="3" t="str">
        <f t="shared" si="14"/>
        <v>Leistungswert eintragen</v>
      </c>
      <c r="U76" s="3">
        <f t="shared" si="15"/>
        <v>0</v>
      </c>
    </row>
    <row r="77" spans="1:21" ht="15" customHeight="1" x14ac:dyDescent="0.2">
      <c r="A77" s="153">
        <v>56</v>
      </c>
      <c r="B77" s="165" t="s">
        <v>363</v>
      </c>
      <c r="C77" s="166" t="s">
        <v>276</v>
      </c>
      <c r="D77" s="166" t="s">
        <v>335</v>
      </c>
      <c r="E77" s="166" t="s">
        <v>364</v>
      </c>
      <c r="F77" s="166" t="s">
        <v>287</v>
      </c>
      <c r="G77" s="167">
        <v>96.74</v>
      </c>
      <c r="H77" s="167"/>
      <c r="I77" s="167"/>
      <c r="J77" s="153" t="s">
        <v>404</v>
      </c>
      <c r="K77" s="167">
        <v>5</v>
      </c>
      <c r="L77" s="95">
        <f>VLOOKUP(K77,Reinigungstage!A10:C31,3,FALSE)</f>
        <v>190.33</v>
      </c>
      <c r="M77" s="95">
        <f t="shared" si="8"/>
        <v>18412.52</v>
      </c>
      <c r="N77" s="168">
        <f t="shared" si="9"/>
        <v>0</v>
      </c>
      <c r="O77" s="95">
        <f ca="1">IF('SVS UnterhaltsRG'!H61="",0,'SVS UnterhaltsRG'!H61)</f>
        <v>0</v>
      </c>
      <c r="P77" s="95">
        <f t="shared" si="10"/>
        <v>0</v>
      </c>
      <c r="Q77" s="95">
        <f t="shared" ca="1" si="11"/>
        <v>0</v>
      </c>
      <c r="R77" s="95">
        <f t="shared" si="12"/>
        <v>0</v>
      </c>
      <c r="S77" s="95">
        <f t="shared" ca="1" si="13"/>
        <v>0</v>
      </c>
      <c r="T77" s="3" t="str">
        <f t="shared" si="14"/>
        <v>Leistungswert eintragen</v>
      </c>
      <c r="U77" s="3">
        <f t="shared" si="15"/>
        <v>0</v>
      </c>
    </row>
    <row r="78" spans="1:21" ht="15" customHeight="1" x14ac:dyDescent="0.2">
      <c r="A78" s="153">
        <v>57</v>
      </c>
      <c r="B78" s="165" t="s">
        <v>365</v>
      </c>
      <c r="C78" s="166" t="s">
        <v>276</v>
      </c>
      <c r="D78" s="166" t="s">
        <v>335</v>
      </c>
      <c r="E78" s="166" t="s">
        <v>366</v>
      </c>
      <c r="F78" s="166" t="s">
        <v>293</v>
      </c>
      <c r="G78" s="167">
        <v>19.02</v>
      </c>
      <c r="H78" s="167"/>
      <c r="I78" s="167"/>
      <c r="J78" s="153" t="s">
        <v>401</v>
      </c>
      <c r="K78" s="167">
        <v>5</v>
      </c>
      <c r="L78" s="95">
        <f>VLOOKUP(K78,Reinigungstage!A10:C31,3,FALSE)</f>
        <v>190.33</v>
      </c>
      <c r="M78" s="95">
        <f t="shared" si="8"/>
        <v>3620.08</v>
      </c>
      <c r="N78" s="168">
        <f t="shared" si="9"/>
        <v>0</v>
      </c>
      <c r="O78" s="95">
        <f ca="1">IF('SVS UnterhaltsRG'!H61="",0,'SVS UnterhaltsRG'!H61)</f>
        <v>0</v>
      </c>
      <c r="P78" s="95">
        <f t="shared" si="10"/>
        <v>0</v>
      </c>
      <c r="Q78" s="95">
        <f t="shared" ca="1" si="11"/>
        <v>0</v>
      </c>
      <c r="R78" s="95">
        <f t="shared" si="12"/>
        <v>0</v>
      </c>
      <c r="S78" s="95">
        <f t="shared" ca="1" si="13"/>
        <v>0</v>
      </c>
      <c r="T78" s="3" t="str">
        <f t="shared" si="14"/>
        <v>Leistungswert eintragen</v>
      </c>
      <c r="U78" s="3">
        <f t="shared" si="15"/>
        <v>0</v>
      </c>
    </row>
    <row r="79" spans="1:21" ht="15" customHeight="1" x14ac:dyDescent="0.2">
      <c r="A79" s="153">
        <v>58</v>
      </c>
      <c r="B79" s="165" t="s">
        <v>367</v>
      </c>
      <c r="C79" s="166" t="s">
        <v>276</v>
      </c>
      <c r="D79" s="166" t="s">
        <v>335</v>
      </c>
      <c r="E79" s="166" t="s">
        <v>368</v>
      </c>
      <c r="F79" s="166" t="s">
        <v>287</v>
      </c>
      <c r="G79" s="167">
        <v>29.88</v>
      </c>
      <c r="H79" s="167"/>
      <c r="I79" s="167"/>
      <c r="J79" s="153" t="s">
        <v>315</v>
      </c>
      <c r="K79" s="167">
        <v>5</v>
      </c>
      <c r="L79" s="95">
        <f>VLOOKUP(K79,Reinigungstage!A10:C31,3,FALSE)</f>
        <v>190.33</v>
      </c>
      <c r="M79" s="95">
        <f t="shared" si="8"/>
        <v>5687.06</v>
      </c>
      <c r="N79" s="168">
        <f t="shared" si="9"/>
        <v>0</v>
      </c>
      <c r="O79" s="95">
        <f ca="1">IF('SVS UnterhaltsRG'!H61="",0,'SVS UnterhaltsRG'!H61)</f>
        <v>0</v>
      </c>
      <c r="P79" s="95">
        <f t="shared" si="10"/>
        <v>0</v>
      </c>
      <c r="Q79" s="95">
        <f t="shared" ca="1" si="11"/>
        <v>0</v>
      </c>
      <c r="R79" s="95">
        <f t="shared" si="12"/>
        <v>0</v>
      </c>
      <c r="S79" s="95">
        <f t="shared" ca="1" si="13"/>
        <v>0</v>
      </c>
      <c r="T79" s="3" t="str">
        <f t="shared" si="14"/>
        <v>Leistungswert eintragen</v>
      </c>
      <c r="U79" s="3">
        <f t="shared" si="15"/>
        <v>0</v>
      </c>
    </row>
    <row r="80" spans="1:21" ht="15" customHeight="1" x14ac:dyDescent="0.2">
      <c r="A80" s="153">
        <v>59</v>
      </c>
      <c r="B80" s="165"/>
      <c r="C80" s="166" t="s">
        <v>276</v>
      </c>
      <c r="D80" s="166" t="s">
        <v>335</v>
      </c>
      <c r="E80" s="166" t="s">
        <v>309</v>
      </c>
      <c r="F80" s="166" t="s">
        <v>369</v>
      </c>
      <c r="G80" s="167">
        <v>20.02</v>
      </c>
      <c r="H80" s="167"/>
      <c r="I80" s="167"/>
      <c r="J80" s="153" t="s">
        <v>310</v>
      </c>
      <c r="K80" s="167">
        <v>5</v>
      </c>
      <c r="L80" s="95">
        <f>VLOOKUP(K80,Reinigungstage!A10:C31,3,FALSE)</f>
        <v>190.33</v>
      </c>
      <c r="M80" s="95">
        <f t="shared" si="8"/>
        <v>3810.41</v>
      </c>
      <c r="N80" s="168">
        <f t="shared" si="9"/>
        <v>0</v>
      </c>
      <c r="O80" s="95">
        <f ca="1">IF('SVS UnterhaltsRG'!H61="",0,'SVS UnterhaltsRG'!H61)</f>
        <v>0</v>
      </c>
      <c r="P80" s="95">
        <f t="shared" si="10"/>
        <v>0</v>
      </c>
      <c r="Q80" s="95">
        <f t="shared" ca="1" si="11"/>
        <v>0</v>
      </c>
      <c r="R80" s="95">
        <f t="shared" si="12"/>
        <v>0</v>
      </c>
      <c r="S80" s="95">
        <f t="shared" ca="1" si="13"/>
        <v>0</v>
      </c>
      <c r="T80" s="3" t="str">
        <f t="shared" si="14"/>
        <v>Leistungswert eintragen</v>
      </c>
      <c r="U80" s="3">
        <f t="shared" si="15"/>
        <v>0</v>
      </c>
    </row>
    <row r="81" spans="1:21" ht="15" customHeight="1" x14ac:dyDescent="0.2">
      <c r="A81" s="153">
        <v>60</v>
      </c>
      <c r="B81" s="165"/>
      <c r="C81" s="166" t="s">
        <v>276</v>
      </c>
      <c r="D81" s="166" t="s">
        <v>335</v>
      </c>
      <c r="E81" s="166" t="s">
        <v>339</v>
      </c>
      <c r="F81" s="166" t="s">
        <v>287</v>
      </c>
      <c r="G81" s="167">
        <v>7.58</v>
      </c>
      <c r="H81" s="167"/>
      <c r="I81" s="167"/>
      <c r="J81" s="153" t="s">
        <v>312</v>
      </c>
      <c r="K81" s="153" t="s">
        <v>162</v>
      </c>
      <c r="L81" s="95">
        <f>VLOOKUP(K81,Reinigungstage!A10:C31,3,FALSE)</f>
        <v>11</v>
      </c>
      <c r="M81" s="95">
        <f t="shared" si="8"/>
        <v>83.38</v>
      </c>
      <c r="N81" s="168">
        <f t="shared" si="9"/>
        <v>0</v>
      </c>
      <c r="O81" s="95">
        <f ca="1">IF('SVS UnterhaltsRG'!H61="",0,'SVS UnterhaltsRG'!H61)</f>
        <v>0</v>
      </c>
      <c r="P81" s="95">
        <f t="shared" si="10"/>
        <v>0</v>
      </c>
      <c r="Q81" s="95">
        <f t="shared" ca="1" si="11"/>
        <v>0</v>
      </c>
      <c r="R81" s="95">
        <f t="shared" si="12"/>
        <v>0</v>
      </c>
      <c r="S81" s="95">
        <f t="shared" ca="1" si="13"/>
        <v>0</v>
      </c>
      <c r="T81" s="3" t="str">
        <f t="shared" si="14"/>
        <v>Leistungswert eintragen</v>
      </c>
      <c r="U81" s="3">
        <f t="shared" si="15"/>
        <v>0</v>
      </c>
    </row>
    <row r="82" spans="1:21" ht="15" customHeight="1" x14ac:dyDescent="0.2">
      <c r="A82" s="153">
        <v>61</v>
      </c>
      <c r="B82" s="165" t="s">
        <v>370</v>
      </c>
      <c r="C82" s="166" t="s">
        <v>276</v>
      </c>
      <c r="D82" s="166" t="s">
        <v>335</v>
      </c>
      <c r="E82" s="166" t="s">
        <v>371</v>
      </c>
      <c r="F82" s="166" t="s">
        <v>287</v>
      </c>
      <c r="G82" s="167">
        <v>10.84</v>
      </c>
      <c r="H82" s="167"/>
      <c r="I82" s="167"/>
      <c r="J82" s="153" t="s">
        <v>315</v>
      </c>
      <c r="K82" s="167">
        <v>5</v>
      </c>
      <c r="L82" s="95">
        <f>VLOOKUP(K82,Reinigungstage!A10:C31,3,FALSE)</f>
        <v>190.33</v>
      </c>
      <c r="M82" s="95">
        <f t="shared" si="8"/>
        <v>2063.1799999999998</v>
      </c>
      <c r="N82" s="168">
        <f t="shared" si="9"/>
        <v>0</v>
      </c>
      <c r="O82" s="95">
        <f ca="1">IF('SVS UnterhaltsRG'!H61="",0,'SVS UnterhaltsRG'!H61)</f>
        <v>0</v>
      </c>
      <c r="P82" s="95">
        <f t="shared" si="10"/>
        <v>0</v>
      </c>
      <c r="Q82" s="95">
        <f t="shared" ca="1" si="11"/>
        <v>0</v>
      </c>
      <c r="R82" s="95">
        <f t="shared" si="12"/>
        <v>0</v>
      </c>
      <c r="S82" s="95">
        <f t="shared" ca="1" si="13"/>
        <v>0</v>
      </c>
      <c r="T82" s="3" t="str">
        <f t="shared" si="14"/>
        <v>Leistungswert eintragen</v>
      </c>
      <c r="U82" s="3">
        <f t="shared" si="15"/>
        <v>0</v>
      </c>
    </row>
    <row r="83" spans="1:21" ht="15" customHeight="1" x14ac:dyDescent="0.2">
      <c r="A83" s="153">
        <v>62</v>
      </c>
      <c r="B83" s="165" t="s">
        <v>372</v>
      </c>
      <c r="C83" s="166" t="s">
        <v>276</v>
      </c>
      <c r="D83" s="166" t="s">
        <v>335</v>
      </c>
      <c r="E83" s="166" t="s">
        <v>373</v>
      </c>
      <c r="F83" s="166" t="s">
        <v>287</v>
      </c>
      <c r="G83" s="167">
        <v>16.29</v>
      </c>
      <c r="H83" s="167"/>
      <c r="I83" s="167"/>
      <c r="J83" s="153" t="s">
        <v>402</v>
      </c>
      <c r="K83" s="167">
        <v>5</v>
      </c>
      <c r="L83" s="95">
        <f>VLOOKUP(K83,Reinigungstage!A10:C31,3,FALSE)</f>
        <v>190.33</v>
      </c>
      <c r="M83" s="95">
        <f t="shared" si="8"/>
        <v>3100.48</v>
      </c>
      <c r="N83" s="168">
        <f t="shared" si="9"/>
        <v>0</v>
      </c>
      <c r="O83" s="95">
        <f ca="1">IF('SVS UnterhaltsRG'!H61="",0,'SVS UnterhaltsRG'!H61)</f>
        <v>0</v>
      </c>
      <c r="P83" s="95">
        <f t="shared" si="10"/>
        <v>0</v>
      </c>
      <c r="Q83" s="95">
        <f t="shared" ca="1" si="11"/>
        <v>0</v>
      </c>
      <c r="R83" s="95">
        <f t="shared" si="12"/>
        <v>0</v>
      </c>
      <c r="S83" s="95">
        <f t="shared" ca="1" si="13"/>
        <v>0</v>
      </c>
      <c r="T83" s="3" t="str">
        <f t="shared" si="14"/>
        <v>Leistungswert eintragen</v>
      </c>
      <c r="U83" s="3">
        <f t="shared" si="15"/>
        <v>0</v>
      </c>
    </row>
    <row r="84" spans="1:21" ht="15" customHeight="1" x14ac:dyDescent="0.2">
      <c r="A84" s="153">
        <v>63</v>
      </c>
      <c r="B84" s="165" t="s">
        <v>374</v>
      </c>
      <c r="C84" s="166" t="s">
        <v>276</v>
      </c>
      <c r="D84" s="166" t="s">
        <v>335</v>
      </c>
      <c r="E84" s="166" t="s">
        <v>375</v>
      </c>
      <c r="F84" s="166" t="s">
        <v>287</v>
      </c>
      <c r="G84" s="167">
        <v>14.99</v>
      </c>
      <c r="H84" s="167"/>
      <c r="I84" s="167"/>
      <c r="J84" s="153" t="s">
        <v>402</v>
      </c>
      <c r="K84" s="167">
        <v>5</v>
      </c>
      <c r="L84" s="95">
        <f>VLOOKUP(K84,Reinigungstage!A10:C31,3,FALSE)</f>
        <v>190.33</v>
      </c>
      <c r="M84" s="95">
        <f t="shared" si="8"/>
        <v>2853.05</v>
      </c>
      <c r="N84" s="168">
        <f t="shared" si="9"/>
        <v>0</v>
      </c>
      <c r="O84" s="95">
        <f ca="1">IF('SVS UnterhaltsRG'!H61="",0,'SVS UnterhaltsRG'!H61)</f>
        <v>0</v>
      </c>
      <c r="P84" s="95">
        <f t="shared" si="10"/>
        <v>0</v>
      </c>
      <c r="Q84" s="95">
        <f t="shared" ca="1" si="11"/>
        <v>0</v>
      </c>
      <c r="R84" s="95">
        <f t="shared" si="12"/>
        <v>0</v>
      </c>
      <c r="S84" s="95">
        <f t="shared" ca="1" si="13"/>
        <v>0</v>
      </c>
      <c r="T84" s="3" t="str">
        <f t="shared" si="14"/>
        <v>Leistungswert eintragen</v>
      </c>
      <c r="U84" s="3">
        <f t="shared" si="15"/>
        <v>0</v>
      </c>
    </row>
    <row r="85" spans="1:21" ht="15" customHeight="1" x14ac:dyDescent="0.2">
      <c r="A85" s="153">
        <v>64</v>
      </c>
      <c r="B85" s="165"/>
      <c r="C85" s="166" t="s">
        <v>276</v>
      </c>
      <c r="D85" s="166" t="s">
        <v>335</v>
      </c>
      <c r="E85" s="166" t="s">
        <v>288</v>
      </c>
      <c r="F85" s="166" t="s">
        <v>287</v>
      </c>
      <c r="G85" s="167">
        <v>28.99</v>
      </c>
      <c r="H85" s="167"/>
      <c r="I85" s="167"/>
      <c r="J85" s="153" t="s">
        <v>313</v>
      </c>
      <c r="K85" s="167">
        <v>5</v>
      </c>
      <c r="L85" s="95">
        <f>VLOOKUP(K85,Reinigungstage!A10:C31,3,FALSE)</f>
        <v>190.33</v>
      </c>
      <c r="M85" s="95">
        <f t="shared" si="8"/>
        <v>5517.67</v>
      </c>
      <c r="N85" s="168">
        <f t="shared" si="9"/>
        <v>0</v>
      </c>
      <c r="O85" s="95">
        <f ca="1">IF('SVS UnterhaltsRG'!H61="",0,'SVS UnterhaltsRG'!H61)</f>
        <v>0</v>
      </c>
      <c r="P85" s="95">
        <f t="shared" si="10"/>
        <v>0</v>
      </c>
      <c r="Q85" s="95">
        <f t="shared" ca="1" si="11"/>
        <v>0</v>
      </c>
      <c r="R85" s="95">
        <f t="shared" si="12"/>
        <v>0</v>
      </c>
      <c r="S85" s="95">
        <f t="shared" ca="1" si="13"/>
        <v>0</v>
      </c>
      <c r="T85" s="3" t="str">
        <f t="shared" si="14"/>
        <v>Leistungswert eintragen</v>
      </c>
      <c r="U85" s="3">
        <f t="shared" si="15"/>
        <v>0</v>
      </c>
    </row>
    <row r="86" spans="1:21" ht="15" customHeight="1" x14ac:dyDescent="0.2">
      <c r="A86" s="153">
        <v>65</v>
      </c>
      <c r="B86" s="165"/>
      <c r="C86" s="166" t="s">
        <v>276</v>
      </c>
      <c r="D86" s="166" t="s">
        <v>317</v>
      </c>
      <c r="E86" s="166" t="s">
        <v>376</v>
      </c>
      <c r="F86" s="166" t="s">
        <v>287</v>
      </c>
      <c r="G86" s="167">
        <v>4.5</v>
      </c>
      <c r="H86" s="167"/>
      <c r="I86" s="167"/>
      <c r="J86" s="153" t="s">
        <v>313</v>
      </c>
      <c r="K86" s="167">
        <v>5</v>
      </c>
      <c r="L86" s="95">
        <f>VLOOKUP(K86,Reinigungstage!A10:C31,3,FALSE)</f>
        <v>190.33</v>
      </c>
      <c r="M86" s="95">
        <f t="shared" ref="M86:M106" si="16">ROUND(IF(L86=0,0,L86*G86),2)</f>
        <v>856.49</v>
      </c>
      <c r="N86" s="168">
        <f t="shared" ref="N86:N106" si="17">VLOOKUP(J86,$G$4:$H$13,2,FALSE)</f>
        <v>0</v>
      </c>
      <c r="O86" s="95">
        <f ca="1">IF('SVS UnterhaltsRG'!H61="",0,'SVS UnterhaltsRG'!H61)</f>
        <v>0</v>
      </c>
      <c r="P86" s="95">
        <f t="shared" ref="P86:P106" si="18">ROUND(IF(N86=0,0,M86/N86),2)</f>
        <v>0</v>
      </c>
      <c r="Q86" s="95">
        <f t="shared" ref="Q86:Q106" ca="1" si="19">IF(M86=0,0,IF(O86="",0,ROUND(P86*O86,2)))</f>
        <v>0</v>
      </c>
      <c r="R86" s="95">
        <f t="shared" ref="R86:R106" si="20">ROUND(IF(P86=0,0,P86/L86),2)</f>
        <v>0</v>
      </c>
      <c r="S86" s="95">
        <f t="shared" ref="S86:S106" ca="1" si="21">ROUND(IF(Q86=0,0,Q86/L86),2)</f>
        <v>0</v>
      </c>
      <c r="T86" s="3" t="str">
        <f t="shared" ref="T86:T106" si="22">IF(M86=0,"",IF(N86=0,"Leistungswert eintragen",IF(O86=0,"SVS prüfen","")))</f>
        <v>Leistungswert eintragen</v>
      </c>
      <c r="U86" s="3">
        <f t="shared" ref="U86:U106" si="23">VLOOKUP(J86,$U$4:$V$13,2,FALSE)</f>
        <v>0</v>
      </c>
    </row>
    <row r="87" spans="1:21" ht="15" customHeight="1" x14ac:dyDescent="0.2">
      <c r="A87" s="153">
        <v>66</v>
      </c>
      <c r="B87" s="165"/>
      <c r="C87" s="166" t="s">
        <v>276</v>
      </c>
      <c r="D87" s="166" t="s">
        <v>317</v>
      </c>
      <c r="E87" s="166" t="s">
        <v>310</v>
      </c>
      <c r="F87" s="166" t="s">
        <v>334</v>
      </c>
      <c r="G87" s="167">
        <v>7.47</v>
      </c>
      <c r="H87" s="167"/>
      <c r="I87" s="167"/>
      <c r="J87" s="153" t="s">
        <v>310</v>
      </c>
      <c r="K87" s="167">
        <v>5</v>
      </c>
      <c r="L87" s="95">
        <f>VLOOKUP(K87,Reinigungstage!A10:C31,3,FALSE)</f>
        <v>190.33</v>
      </c>
      <c r="M87" s="95">
        <f t="shared" si="16"/>
        <v>1421.77</v>
      </c>
      <c r="N87" s="168">
        <f t="shared" si="17"/>
        <v>0</v>
      </c>
      <c r="O87" s="95">
        <f ca="1">IF('SVS UnterhaltsRG'!H61="",0,'SVS UnterhaltsRG'!H61)</f>
        <v>0</v>
      </c>
      <c r="P87" s="95">
        <f t="shared" si="18"/>
        <v>0</v>
      </c>
      <c r="Q87" s="95">
        <f t="shared" ca="1" si="19"/>
        <v>0</v>
      </c>
      <c r="R87" s="95">
        <f t="shared" si="20"/>
        <v>0</v>
      </c>
      <c r="S87" s="95">
        <f t="shared" ca="1" si="21"/>
        <v>0</v>
      </c>
      <c r="T87" s="3" t="str">
        <f t="shared" si="22"/>
        <v>Leistungswert eintragen</v>
      </c>
      <c r="U87" s="3">
        <f t="shared" si="23"/>
        <v>0</v>
      </c>
    </row>
    <row r="88" spans="1:21" ht="15" customHeight="1" x14ac:dyDescent="0.2">
      <c r="A88" s="153">
        <v>67</v>
      </c>
      <c r="B88" s="165"/>
      <c r="C88" s="166" t="s">
        <v>276</v>
      </c>
      <c r="D88" s="166" t="s">
        <v>317</v>
      </c>
      <c r="E88" s="166" t="s">
        <v>309</v>
      </c>
      <c r="F88" s="166" t="s">
        <v>334</v>
      </c>
      <c r="G88" s="167">
        <v>13.43</v>
      </c>
      <c r="H88" s="167"/>
      <c r="I88" s="167"/>
      <c r="J88" s="153" t="s">
        <v>310</v>
      </c>
      <c r="K88" s="167">
        <v>5</v>
      </c>
      <c r="L88" s="95">
        <f>VLOOKUP(K88,Reinigungstage!A10:C31,3,FALSE)</f>
        <v>190.33</v>
      </c>
      <c r="M88" s="95">
        <f t="shared" si="16"/>
        <v>2556.13</v>
      </c>
      <c r="N88" s="168">
        <f t="shared" si="17"/>
        <v>0</v>
      </c>
      <c r="O88" s="95">
        <f ca="1">IF('SVS UnterhaltsRG'!H61="",0,'SVS UnterhaltsRG'!H61)</f>
        <v>0</v>
      </c>
      <c r="P88" s="95">
        <f t="shared" si="18"/>
        <v>0</v>
      </c>
      <c r="Q88" s="95">
        <f t="shared" ca="1" si="19"/>
        <v>0</v>
      </c>
      <c r="R88" s="95">
        <f t="shared" si="20"/>
        <v>0</v>
      </c>
      <c r="S88" s="95">
        <f t="shared" ca="1" si="21"/>
        <v>0</v>
      </c>
      <c r="T88" s="3" t="str">
        <f t="shared" si="22"/>
        <v>Leistungswert eintragen</v>
      </c>
      <c r="U88" s="3">
        <f t="shared" si="23"/>
        <v>0</v>
      </c>
    </row>
    <row r="89" spans="1:21" ht="15" customHeight="1" x14ac:dyDescent="0.2">
      <c r="A89" s="153">
        <v>68</v>
      </c>
      <c r="B89" s="165"/>
      <c r="C89" s="166" t="s">
        <v>276</v>
      </c>
      <c r="D89" s="166" t="s">
        <v>317</v>
      </c>
      <c r="E89" s="166" t="s">
        <v>310</v>
      </c>
      <c r="F89" s="166" t="s">
        <v>334</v>
      </c>
      <c r="G89" s="167">
        <v>8.43</v>
      </c>
      <c r="H89" s="167"/>
      <c r="I89" s="167"/>
      <c r="J89" s="153" t="s">
        <v>310</v>
      </c>
      <c r="K89" s="167">
        <v>5</v>
      </c>
      <c r="L89" s="95">
        <f>VLOOKUP(K89,Reinigungstage!A10:C31,3,FALSE)</f>
        <v>190.33</v>
      </c>
      <c r="M89" s="95">
        <f t="shared" si="16"/>
        <v>1604.48</v>
      </c>
      <c r="N89" s="168">
        <f t="shared" si="17"/>
        <v>0</v>
      </c>
      <c r="O89" s="95">
        <f ca="1">IF('SVS UnterhaltsRG'!H61="",0,'SVS UnterhaltsRG'!H61)</f>
        <v>0</v>
      </c>
      <c r="P89" s="95">
        <f t="shared" si="18"/>
        <v>0</v>
      </c>
      <c r="Q89" s="95">
        <f t="shared" ca="1" si="19"/>
        <v>0</v>
      </c>
      <c r="R89" s="95">
        <f t="shared" si="20"/>
        <v>0</v>
      </c>
      <c r="S89" s="95">
        <f t="shared" ca="1" si="21"/>
        <v>0</v>
      </c>
      <c r="T89" s="3" t="str">
        <f t="shared" si="22"/>
        <v>Leistungswert eintragen</v>
      </c>
      <c r="U89" s="3">
        <f t="shared" si="23"/>
        <v>0</v>
      </c>
    </row>
    <row r="90" spans="1:21" ht="15" customHeight="1" x14ac:dyDescent="0.2">
      <c r="A90" s="153">
        <v>69</v>
      </c>
      <c r="B90" s="165"/>
      <c r="C90" s="166" t="s">
        <v>377</v>
      </c>
      <c r="D90" s="166" t="s">
        <v>317</v>
      </c>
      <c r="E90" s="166" t="s">
        <v>378</v>
      </c>
      <c r="F90" s="166" t="s">
        <v>379</v>
      </c>
      <c r="G90" s="167">
        <v>36.6</v>
      </c>
      <c r="H90" s="167"/>
      <c r="I90" s="167"/>
      <c r="J90" s="153" t="s">
        <v>313</v>
      </c>
      <c r="K90" s="167">
        <v>5</v>
      </c>
      <c r="L90" s="95">
        <f>VLOOKUP(K90,Reinigungstage!A10:C31,3,FALSE)</f>
        <v>190.33</v>
      </c>
      <c r="M90" s="95">
        <f t="shared" si="16"/>
        <v>6966.08</v>
      </c>
      <c r="N90" s="168">
        <f t="shared" si="17"/>
        <v>0</v>
      </c>
      <c r="O90" s="95">
        <f ca="1">IF('SVS UnterhaltsRG'!H61="",0,'SVS UnterhaltsRG'!H61)</f>
        <v>0</v>
      </c>
      <c r="P90" s="95">
        <f t="shared" si="18"/>
        <v>0</v>
      </c>
      <c r="Q90" s="95">
        <f t="shared" ca="1" si="19"/>
        <v>0</v>
      </c>
      <c r="R90" s="95">
        <f t="shared" si="20"/>
        <v>0</v>
      </c>
      <c r="S90" s="95">
        <f t="shared" ca="1" si="21"/>
        <v>0</v>
      </c>
      <c r="T90" s="3" t="str">
        <f t="shared" si="22"/>
        <v>Leistungswert eintragen</v>
      </c>
      <c r="U90" s="3">
        <f t="shared" si="23"/>
        <v>0</v>
      </c>
    </row>
    <row r="91" spans="1:21" ht="15" customHeight="1" x14ac:dyDescent="0.2">
      <c r="A91" s="153">
        <v>70</v>
      </c>
      <c r="B91" s="165"/>
      <c r="C91" s="166" t="s">
        <v>377</v>
      </c>
      <c r="D91" s="166" t="s">
        <v>317</v>
      </c>
      <c r="E91" s="166" t="s">
        <v>380</v>
      </c>
      <c r="F91" s="166" t="s">
        <v>379</v>
      </c>
      <c r="G91" s="167">
        <v>26.34</v>
      </c>
      <c r="H91" s="167"/>
      <c r="I91" s="167"/>
      <c r="J91" s="153" t="s">
        <v>314</v>
      </c>
      <c r="K91" s="167">
        <v>5</v>
      </c>
      <c r="L91" s="95">
        <f>VLOOKUP(K91,Reinigungstage!A10:C31,3,FALSE)</f>
        <v>190.33</v>
      </c>
      <c r="M91" s="95">
        <f t="shared" si="16"/>
        <v>5013.29</v>
      </c>
      <c r="N91" s="168">
        <f t="shared" si="17"/>
        <v>0</v>
      </c>
      <c r="O91" s="95">
        <f ca="1">IF('SVS UnterhaltsRG'!H61="",0,'SVS UnterhaltsRG'!H61)</f>
        <v>0</v>
      </c>
      <c r="P91" s="95">
        <f t="shared" si="18"/>
        <v>0</v>
      </c>
      <c r="Q91" s="95">
        <f t="shared" ca="1" si="19"/>
        <v>0</v>
      </c>
      <c r="R91" s="95">
        <f t="shared" si="20"/>
        <v>0</v>
      </c>
      <c r="S91" s="95">
        <f t="shared" ca="1" si="21"/>
        <v>0</v>
      </c>
      <c r="T91" s="3" t="str">
        <f t="shared" si="22"/>
        <v>Leistungswert eintragen</v>
      </c>
      <c r="U91" s="3">
        <f t="shared" si="23"/>
        <v>0</v>
      </c>
    </row>
    <row r="92" spans="1:21" ht="15" customHeight="1" x14ac:dyDescent="0.2">
      <c r="A92" s="153">
        <v>71</v>
      </c>
      <c r="B92" s="165"/>
      <c r="C92" s="166" t="s">
        <v>377</v>
      </c>
      <c r="D92" s="166" t="s">
        <v>317</v>
      </c>
      <c r="E92" s="166" t="s">
        <v>381</v>
      </c>
      <c r="F92" s="166" t="s">
        <v>379</v>
      </c>
      <c r="G92" s="167">
        <v>18.170000000000002</v>
      </c>
      <c r="H92" s="167"/>
      <c r="I92" s="167"/>
      <c r="J92" s="153" t="s">
        <v>314</v>
      </c>
      <c r="K92" s="167">
        <v>5</v>
      </c>
      <c r="L92" s="95">
        <f>VLOOKUP(K92,Reinigungstage!A10:C31,3,FALSE)</f>
        <v>190.33</v>
      </c>
      <c r="M92" s="95">
        <f t="shared" si="16"/>
        <v>3458.3</v>
      </c>
      <c r="N92" s="168">
        <f t="shared" si="17"/>
        <v>0</v>
      </c>
      <c r="O92" s="95">
        <f ca="1">IF('SVS UnterhaltsRG'!H61="",0,'SVS UnterhaltsRG'!H61)</f>
        <v>0</v>
      </c>
      <c r="P92" s="95">
        <f t="shared" si="18"/>
        <v>0</v>
      </c>
      <c r="Q92" s="95">
        <f t="shared" ca="1" si="19"/>
        <v>0</v>
      </c>
      <c r="R92" s="95">
        <f t="shared" si="20"/>
        <v>0</v>
      </c>
      <c r="S92" s="95">
        <f t="shared" ca="1" si="21"/>
        <v>0</v>
      </c>
      <c r="T92" s="3" t="str">
        <f t="shared" si="22"/>
        <v>Leistungswert eintragen</v>
      </c>
      <c r="U92" s="3">
        <f t="shared" si="23"/>
        <v>0</v>
      </c>
    </row>
    <row r="93" spans="1:21" ht="15" customHeight="1" x14ac:dyDescent="0.2">
      <c r="A93" s="153">
        <v>72</v>
      </c>
      <c r="B93" s="165"/>
      <c r="C93" s="166" t="s">
        <v>377</v>
      </c>
      <c r="D93" s="166" t="s">
        <v>317</v>
      </c>
      <c r="E93" s="166" t="s">
        <v>382</v>
      </c>
      <c r="F93" s="166" t="s">
        <v>379</v>
      </c>
      <c r="G93" s="167">
        <v>7.44</v>
      </c>
      <c r="H93" s="167"/>
      <c r="I93" s="167"/>
      <c r="J93" s="153" t="s">
        <v>314</v>
      </c>
      <c r="K93" s="167">
        <v>5</v>
      </c>
      <c r="L93" s="95">
        <f>VLOOKUP(K93,Reinigungstage!A10:C31,3,FALSE)</f>
        <v>190.33</v>
      </c>
      <c r="M93" s="95">
        <f t="shared" si="16"/>
        <v>1416.06</v>
      </c>
      <c r="N93" s="168">
        <f t="shared" si="17"/>
        <v>0</v>
      </c>
      <c r="O93" s="95">
        <f ca="1">IF('SVS UnterhaltsRG'!H61="",0,'SVS UnterhaltsRG'!H61)</f>
        <v>0</v>
      </c>
      <c r="P93" s="95">
        <f t="shared" si="18"/>
        <v>0</v>
      </c>
      <c r="Q93" s="95">
        <f t="shared" ca="1" si="19"/>
        <v>0</v>
      </c>
      <c r="R93" s="95">
        <f t="shared" si="20"/>
        <v>0</v>
      </c>
      <c r="S93" s="95">
        <f t="shared" ca="1" si="21"/>
        <v>0</v>
      </c>
      <c r="T93" s="3" t="str">
        <f t="shared" si="22"/>
        <v>Leistungswert eintragen</v>
      </c>
      <c r="U93" s="3">
        <f t="shared" si="23"/>
        <v>0</v>
      </c>
    </row>
    <row r="94" spans="1:21" ht="15" customHeight="1" x14ac:dyDescent="0.2">
      <c r="A94" s="153">
        <v>73</v>
      </c>
      <c r="B94" s="165"/>
      <c r="C94" s="166" t="s">
        <v>377</v>
      </c>
      <c r="D94" s="166" t="s">
        <v>317</v>
      </c>
      <c r="E94" s="166" t="s">
        <v>383</v>
      </c>
      <c r="F94" s="166" t="s">
        <v>379</v>
      </c>
      <c r="G94" s="167">
        <v>11.75</v>
      </c>
      <c r="H94" s="167"/>
      <c r="I94" s="167"/>
      <c r="J94" s="153" t="s">
        <v>314</v>
      </c>
      <c r="K94" s="167">
        <v>5</v>
      </c>
      <c r="L94" s="95">
        <f>VLOOKUP(K94,Reinigungstage!A10:C31,3,FALSE)</f>
        <v>190.33</v>
      </c>
      <c r="M94" s="95">
        <f t="shared" si="16"/>
        <v>2236.38</v>
      </c>
      <c r="N94" s="168">
        <f t="shared" si="17"/>
        <v>0</v>
      </c>
      <c r="O94" s="95">
        <f ca="1">IF('SVS UnterhaltsRG'!H61="",0,'SVS UnterhaltsRG'!H61)</f>
        <v>0</v>
      </c>
      <c r="P94" s="95">
        <f t="shared" si="18"/>
        <v>0</v>
      </c>
      <c r="Q94" s="95">
        <f t="shared" ca="1" si="19"/>
        <v>0</v>
      </c>
      <c r="R94" s="95">
        <f t="shared" si="20"/>
        <v>0</v>
      </c>
      <c r="S94" s="95">
        <f t="shared" ca="1" si="21"/>
        <v>0</v>
      </c>
      <c r="T94" s="3" t="str">
        <f t="shared" si="22"/>
        <v>Leistungswert eintragen</v>
      </c>
      <c r="U94" s="3">
        <f t="shared" si="23"/>
        <v>0</v>
      </c>
    </row>
    <row r="95" spans="1:21" ht="15" customHeight="1" x14ac:dyDescent="0.2">
      <c r="A95" s="153">
        <v>74</v>
      </c>
      <c r="B95" s="165" t="s">
        <v>384</v>
      </c>
      <c r="C95" s="166" t="s">
        <v>377</v>
      </c>
      <c r="D95" s="166" t="s">
        <v>317</v>
      </c>
      <c r="E95" s="166" t="s">
        <v>385</v>
      </c>
      <c r="F95" s="166" t="s">
        <v>287</v>
      </c>
      <c r="G95" s="167">
        <v>32.54</v>
      </c>
      <c r="H95" s="167"/>
      <c r="I95" s="167"/>
      <c r="J95" s="153" t="s">
        <v>312</v>
      </c>
      <c r="K95" s="167">
        <v>0</v>
      </c>
      <c r="L95" s="95">
        <f>VLOOKUP(K95,Reinigungstage!A10:C31,3,FALSE)</f>
        <v>0</v>
      </c>
      <c r="M95" s="95">
        <f t="shared" si="16"/>
        <v>0</v>
      </c>
      <c r="N95" s="168">
        <f t="shared" si="17"/>
        <v>0</v>
      </c>
      <c r="O95" s="95">
        <f ca="1">IF('SVS UnterhaltsRG'!H61="",0,'SVS UnterhaltsRG'!H61)</f>
        <v>0</v>
      </c>
      <c r="P95" s="95">
        <f t="shared" si="18"/>
        <v>0</v>
      </c>
      <c r="Q95" s="95">
        <f t="shared" si="19"/>
        <v>0</v>
      </c>
      <c r="R95" s="95">
        <f t="shared" si="20"/>
        <v>0</v>
      </c>
      <c r="S95" s="95">
        <f t="shared" si="21"/>
        <v>0</v>
      </c>
      <c r="T95" s="3" t="str">
        <f t="shared" si="22"/>
        <v/>
      </c>
      <c r="U95" s="3">
        <f t="shared" si="23"/>
        <v>0</v>
      </c>
    </row>
    <row r="96" spans="1:21" ht="15" customHeight="1" x14ac:dyDescent="0.2">
      <c r="A96" s="153">
        <v>75</v>
      </c>
      <c r="B96" s="165"/>
      <c r="C96" s="166" t="s">
        <v>377</v>
      </c>
      <c r="D96" s="166" t="s">
        <v>317</v>
      </c>
      <c r="E96" s="166" t="s">
        <v>386</v>
      </c>
      <c r="F96" s="166" t="s">
        <v>287</v>
      </c>
      <c r="G96" s="167">
        <v>23.05</v>
      </c>
      <c r="H96" s="167"/>
      <c r="I96" s="167"/>
      <c r="J96" s="153" t="s">
        <v>313</v>
      </c>
      <c r="K96" s="167">
        <v>5</v>
      </c>
      <c r="L96" s="95">
        <f>VLOOKUP(K96,Reinigungstage!A10:C31,3,FALSE)</f>
        <v>190.33</v>
      </c>
      <c r="M96" s="95">
        <f t="shared" si="16"/>
        <v>4387.1099999999997</v>
      </c>
      <c r="N96" s="168">
        <f t="shared" si="17"/>
        <v>0</v>
      </c>
      <c r="O96" s="95">
        <f ca="1">IF('SVS UnterhaltsRG'!H61="",0,'SVS UnterhaltsRG'!H61)</f>
        <v>0</v>
      </c>
      <c r="P96" s="95">
        <f t="shared" si="18"/>
        <v>0</v>
      </c>
      <c r="Q96" s="95">
        <f t="shared" ca="1" si="19"/>
        <v>0</v>
      </c>
      <c r="R96" s="95">
        <f t="shared" si="20"/>
        <v>0</v>
      </c>
      <c r="S96" s="95">
        <f t="shared" ca="1" si="21"/>
        <v>0</v>
      </c>
      <c r="T96" s="3" t="str">
        <f t="shared" si="22"/>
        <v>Leistungswert eintragen</v>
      </c>
      <c r="U96" s="3">
        <f t="shared" si="23"/>
        <v>0</v>
      </c>
    </row>
    <row r="97" spans="1:21" ht="15" customHeight="1" x14ac:dyDescent="0.2">
      <c r="A97" s="153">
        <v>76</v>
      </c>
      <c r="B97" s="165"/>
      <c r="C97" s="166" t="s">
        <v>377</v>
      </c>
      <c r="D97" s="166" t="s">
        <v>317</v>
      </c>
      <c r="E97" s="166" t="s">
        <v>339</v>
      </c>
      <c r="F97" s="166" t="s">
        <v>330</v>
      </c>
      <c r="G97" s="167">
        <v>18.22</v>
      </c>
      <c r="H97" s="167"/>
      <c r="I97" s="167"/>
      <c r="J97" s="153" t="s">
        <v>312</v>
      </c>
      <c r="K97" s="153" t="s">
        <v>162</v>
      </c>
      <c r="L97" s="95">
        <f>VLOOKUP(K97,Reinigungstage!A10:C31,3,FALSE)</f>
        <v>11</v>
      </c>
      <c r="M97" s="95">
        <f t="shared" si="16"/>
        <v>200.42</v>
      </c>
      <c r="N97" s="168">
        <f t="shared" si="17"/>
        <v>0</v>
      </c>
      <c r="O97" s="95">
        <f ca="1">IF('SVS UnterhaltsRG'!H61="",0,'SVS UnterhaltsRG'!H61)</f>
        <v>0</v>
      </c>
      <c r="P97" s="95">
        <f t="shared" si="18"/>
        <v>0</v>
      </c>
      <c r="Q97" s="95">
        <f t="shared" ca="1" si="19"/>
        <v>0</v>
      </c>
      <c r="R97" s="95">
        <f t="shared" si="20"/>
        <v>0</v>
      </c>
      <c r="S97" s="95">
        <f t="shared" ca="1" si="21"/>
        <v>0</v>
      </c>
      <c r="T97" s="3" t="str">
        <f t="shared" si="22"/>
        <v>Leistungswert eintragen</v>
      </c>
      <c r="U97" s="3">
        <f t="shared" si="23"/>
        <v>0</v>
      </c>
    </row>
    <row r="98" spans="1:21" ht="15" customHeight="1" x14ac:dyDescent="0.2">
      <c r="A98" s="153">
        <v>77</v>
      </c>
      <c r="B98" s="165"/>
      <c r="C98" s="166" t="s">
        <v>377</v>
      </c>
      <c r="D98" s="166" t="s">
        <v>325</v>
      </c>
      <c r="E98" s="166" t="s">
        <v>387</v>
      </c>
      <c r="F98" s="166" t="s">
        <v>287</v>
      </c>
      <c r="G98" s="167">
        <v>49.4</v>
      </c>
      <c r="H98" s="167"/>
      <c r="I98" s="167"/>
      <c r="J98" s="153" t="s">
        <v>313</v>
      </c>
      <c r="K98" s="167">
        <v>5</v>
      </c>
      <c r="L98" s="95">
        <f>VLOOKUP(K98,Reinigungstage!A10:C31,3,FALSE)</f>
        <v>190.33</v>
      </c>
      <c r="M98" s="95">
        <f t="shared" si="16"/>
        <v>9402.2999999999993</v>
      </c>
      <c r="N98" s="168">
        <f t="shared" si="17"/>
        <v>0</v>
      </c>
      <c r="O98" s="95">
        <f ca="1">IF('SVS UnterhaltsRG'!H61="",0,'SVS UnterhaltsRG'!H61)</f>
        <v>0</v>
      </c>
      <c r="P98" s="95">
        <f t="shared" si="18"/>
        <v>0</v>
      </c>
      <c r="Q98" s="95">
        <f t="shared" ca="1" si="19"/>
        <v>0</v>
      </c>
      <c r="R98" s="95">
        <f t="shared" si="20"/>
        <v>0</v>
      </c>
      <c r="S98" s="95">
        <f t="shared" ca="1" si="21"/>
        <v>0</v>
      </c>
      <c r="T98" s="3" t="str">
        <f t="shared" si="22"/>
        <v>Leistungswert eintragen</v>
      </c>
      <c r="U98" s="3">
        <f t="shared" si="23"/>
        <v>0</v>
      </c>
    </row>
    <row r="99" spans="1:21" ht="15" customHeight="1" x14ac:dyDescent="0.2">
      <c r="A99" s="153">
        <v>78</v>
      </c>
      <c r="B99" s="165"/>
      <c r="C99" s="166" t="s">
        <v>377</v>
      </c>
      <c r="D99" s="166" t="s">
        <v>325</v>
      </c>
      <c r="E99" s="166" t="s">
        <v>291</v>
      </c>
      <c r="F99" s="166" t="s">
        <v>287</v>
      </c>
      <c r="G99" s="167">
        <v>10.7</v>
      </c>
      <c r="H99" s="167"/>
      <c r="I99" s="167"/>
      <c r="J99" s="153" t="s">
        <v>291</v>
      </c>
      <c r="K99" s="167">
        <v>5</v>
      </c>
      <c r="L99" s="95">
        <f>VLOOKUP(K99,Reinigungstage!A10:C31,3,FALSE)</f>
        <v>190.33</v>
      </c>
      <c r="M99" s="95">
        <f t="shared" si="16"/>
        <v>2036.53</v>
      </c>
      <c r="N99" s="168">
        <f t="shared" si="17"/>
        <v>0</v>
      </c>
      <c r="O99" s="95">
        <f ca="1">IF('SVS UnterhaltsRG'!H61="",0,'SVS UnterhaltsRG'!H61)</f>
        <v>0</v>
      </c>
      <c r="P99" s="95">
        <f t="shared" si="18"/>
        <v>0</v>
      </c>
      <c r="Q99" s="95">
        <f t="shared" ca="1" si="19"/>
        <v>0</v>
      </c>
      <c r="R99" s="95">
        <f t="shared" si="20"/>
        <v>0</v>
      </c>
      <c r="S99" s="95">
        <f t="shared" ca="1" si="21"/>
        <v>0</v>
      </c>
      <c r="T99" s="3" t="str">
        <f t="shared" si="22"/>
        <v>Leistungswert eintragen</v>
      </c>
      <c r="U99" s="3">
        <f t="shared" si="23"/>
        <v>0</v>
      </c>
    </row>
    <row r="100" spans="1:21" ht="15" customHeight="1" x14ac:dyDescent="0.2">
      <c r="A100" s="153">
        <v>79</v>
      </c>
      <c r="B100" s="165" t="s">
        <v>388</v>
      </c>
      <c r="C100" s="166" t="s">
        <v>377</v>
      </c>
      <c r="D100" s="166" t="s">
        <v>325</v>
      </c>
      <c r="E100" s="166" t="s">
        <v>385</v>
      </c>
      <c r="F100" s="166" t="s">
        <v>287</v>
      </c>
      <c r="G100" s="167">
        <v>10.89</v>
      </c>
      <c r="H100" s="167"/>
      <c r="I100" s="167"/>
      <c r="J100" s="153" t="s">
        <v>312</v>
      </c>
      <c r="K100" s="153" t="s">
        <v>162</v>
      </c>
      <c r="L100" s="95">
        <f>VLOOKUP(K100,Reinigungstage!A10:C31,3,FALSE)</f>
        <v>11</v>
      </c>
      <c r="M100" s="95">
        <f t="shared" si="16"/>
        <v>119.79</v>
      </c>
      <c r="N100" s="168">
        <f t="shared" si="17"/>
        <v>0</v>
      </c>
      <c r="O100" s="95">
        <f ca="1">IF('SVS UnterhaltsRG'!H61="",0,'SVS UnterhaltsRG'!H61)</f>
        <v>0</v>
      </c>
      <c r="P100" s="95">
        <f t="shared" si="18"/>
        <v>0</v>
      </c>
      <c r="Q100" s="95">
        <f t="shared" ca="1" si="19"/>
        <v>0</v>
      </c>
      <c r="R100" s="95">
        <f t="shared" si="20"/>
        <v>0</v>
      </c>
      <c r="S100" s="95">
        <f t="shared" ca="1" si="21"/>
        <v>0</v>
      </c>
      <c r="T100" s="3" t="str">
        <f t="shared" si="22"/>
        <v>Leistungswert eintragen</v>
      </c>
      <c r="U100" s="3">
        <f t="shared" si="23"/>
        <v>0</v>
      </c>
    </row>
    <row r="101" spans="1:21" ht="15" customHeight="1" x14ac:dyDescent="0.2">
      <c r="A101" s="153">
        <v>80</v>
      </c>
      <c r="B101" s="165" t="s">
        <v>389</v>
      </c>
      <c r="C101" s="166" t="s">
        <v>377</v>
      </c>
      <c r="D101" s="166" t="s">
        <v>325</v>
      </c>
      <c r="E101" s="166" t="s">
        <v>390</v>
      </c>
      <c r="F101" s="166" t="s">
        <v>287</v>
      </c>
      <c r="G101" s="167">
        <v>34.450000000000003</v>
      </c>
      <c r="H101" s="167"/>
      <c r="I101" s="167"/>
      <c r="J101" s="153" t="s">
        <v>315</v>
      </c>
      <c r="K101" s="167">
        <v>5</v>
      </c>
      <c r="L101" s="95">
        <f>VLOOKUP(K101,Reinigungstage!A10:C31,3,FALSE)</f>
        <v>190.33</v>
      </c>
      <c r="M101" s="95">
        <f t="shared" si="16"/>
        <v>6556.87</v>
      </c>
      <c r="N101" s="168">
        <f t="shared" si="17"/>
        <v>0</v>
      </c>
      <c r="O101" s="95">
        <f ca="1">IF('SVS UnterhaltsRG'!H61="",0,'SVS UnterhaltsRG'!H61)</f>
        <v>0</v>
      </c>
      <c r="P101" s="95">
        <f t="shared" si="18"/>
        <v>0</v>
      </c>
      <c r="Q101" s="95">
        <f t="shared" ca="1" si="19"/>
        <v>0</v>
      </c>
      <c r="R101" s="95">
        <f t="shared" si="20"/>
        <v>0</v>
      </c>
      <c r="S101" s="95">
        <f t="shared" ca="1" si="21"/>
        <v>0</v>
      </c>
      <c r="T101" s="3" t="str">
        <f t="shared" si="22"/>
        <v>Leistungswert eintragen</v>
      </c>
      <c r="U101" s="3">
        <f t="shared" si="23"/>
        <v>0</v>
      </c>
    </row>
    <row r="102" spans="1:21" ht="15" customHeight="1" x14ac:dyDescent="0.2">
      <c r="A102" s="153">
        <v>81</v>
      </c>
      <c r="B102" s="165" t="s">
        <v>391</v>
      </c>
      <c r="C102" s="166" t="s">
        <v>377</v>
      </c>
      <c r="D102" s="166" t="s">
        <v>325</v>
      </c>
      <c r="E102" s="166" t="s">
        <v>392</v>
      </c>
      <c r="F102" s="166" t="s">
        <v>287</v>
      </c>
      <c r="G102" s="167">
        <v>12.71</v>
      </c>
      <c r="H102" s="167"/>
      <c r="I102" s="167"/>
      <c r="J102" s="153" t="s">
        <v>312</v>
      </c>
      <c r="K102" s="153" t="s">
        <v>162</v>
      </c>
      <c r="L102" s="95">
        <f>VLOOKUP(K102,Reinigungstage!A10:C31,3,FALSE)</f>
        <v>11</v>
      </c>
      <c r="M102" s="95">
        <f t="shared" si="16"/>
        <v>139.81</v>
      </c>
      <c r="N102" s="168">
        <f t="shared" si="17"/>
        <v>0</v>
      </c>
      <c r="O102" s="95">
        <f ca="1">IF('SVS UnterhaltsRG'!H61="",0,'SVS UnterhaltsRG'!H61)</f>
        <v>0</v>
      </c>
      <c r="P102" s="95">
        <f t="shared" si="18"/>
        <v>0</v>
      </c>
      <c r="Q102" s="95">
        <f t="shared" ca="1" si="19"/>
        <v>0</v>
      </c>
      <c r="R102" s="95">
        <f t="shared" si="20"/>
        <v>0</v>
      </c>
      <c r="S102" s="95">
        <f t="shared" ca="1" si="21"/>
        <v>0</v>
      </c>
      <c r="T102" s="3" t="str">
        <f t="shared" si="22"/>
        <v>Leistungswert eintragen</v>
      </c>
      <c r="U102" s="3">
        <f t="shared" si="23"/>
        <v>0</v>
      </c>
    </row>
    <row r="103" spans="1:21" ht="15" customHeight="1" x14ac:dyDescent="0.2">
      <c r="A103" s="153">
        <v>82</v>
      </c>
      <c r="B103" s="165" t="s">
        <v>393</v>
      </c>
      <c r="C103" s="166" t="s">
        <v>377</v>
      </c>
      <c r="D103" s="166" t="s">
        <v>325</v>
      </c>
      <c r="E103" s="166" t="s">
        <v>394</v>
      </c>
      <c r="F103" s="166" t="s">
        <v>287</v>
      </c>
      <c r="G103" s="167">
        <v>8.2200000000000006</v>
      </c>
      <c r="H103" s="167"/>
      <c r="I103" s="167"/>
      <c r="J103" s="153" t="s">
        <v>312</v>
      </c>
      <c r="K103" s="153" t="s">
        <v>162</v>
      </c>
      <c r="L103" s="95">
        <f>VLOOKUP(K103,Reinigungstage!A10:C31,3,FALSE)</f>
        <v>11</v>
      </c>
      <c r="M103" s="95">
        <f t="shared" si="16"/>
        <v>90.42</v>
      </c>
      <c r="N103" s="168">
        <f t="shared" si="17"/>
        <v>0</v>
      </c>
      <c r="O103" s="95">
        <f ca="1">IF('SVS UnterhaltsRG'!H61="",0,'SVS UnterhaltsRG'!H61)</f>
        <v>0</v>
      </c>
      <c r="P103" s="95">
        <f t="shared" si="18"/>
        <v>0</v>
      </c>
      <c r="Q103" s="95">
        <f t="shared" ca="1" si="19"/>
        <v>0</v>
      </c>
      <c r="R103" s="95">
        <f t="shared" si="20"/>
        <v>0</v>
      </c>
      <c r="S103" s="95">
        <f t="shared" ca="1" si="21"/>
        <v>0</v>
      </c>
      <c r="T103" s="3" t="str">
        <f t="shared" si="22"/>
        <v>Leistungswert eintragen</v>
      </c>
      <c r="U103" s="3">
        <f t="shared" si="23"/>
        <v>0</v>
      </c>
    </row>
    <row r="104" spans="1:21" ht="15" customHeight="1" x14ac:dyDescent="0.2">
      <c r="A104" s="153">
        <v>83</v>
      </c>
      <c r="B104" s="165" t="s">
        <v>395</v>
      </c>
      <c r="C104" s="166" t="s">
        <v>377</v>
      </c>
      <c r="D104" s="166" t="s">
        <v>325</v>
      </c>
      <c r="E104" s="166" t="s">
        <v>396</v>
      </c>
      <c r="F104" s="166" t="s">
        <v>287</v>
      </c>
      <c r="G104" s="167">
        <v>34.78</v>
      </c>
      <c r="H104" s="167"/>
      <c r="I104" s="167"/>
      <c r="J104" s="153" t="s">
        <v>401</v>
      </c>
      <c r="K104" s="167">
        <v>5</v>
      </c>
      <c r="L104" s="95">
        <f>VLOOKUP(K104,Reinigungstage!A10:C31,3,FALSE)</f>
        <v>190.33</v>
      </c>
      <c r="M104" s="95">
        <f t="shared" si="16"/>
        <v>6619.68</v>
      </c>
      <c r="N104" s="168">
        <f t="shared" si="17"/>
        <v>0</v>
      </c>
      <c r="O104" s="95">
        <f ca="1">IF('SVS UnterhaltsRG'!H61="",0,'SVS UnterhaltsRG'!H61)</f>
        <v>0</v>
      </c>
      <c r="P104" s="95">
        <f t="shared" si="18"/>
        <v>0</v>
      </c>
      <c r="Q104" s="95">
        <f t="shared" ca="1" si="19"/>
        <v>0</v>
      </c>
      <c r="R104" s="95">
        <f t="shared" si="20"/>
        <v>0</v>
      </c>
      <c r="S104" s="95">
        <f t="shared" ca="1" si="21"/>
        <v>0</v>
      </c>
      <c r="T104" s="3" t="str">
        <f t="shared" si="22"/>
        <v>Leistungswert eintragen</v>
      </c>
      <c r="U104" s="3">
        <f t="shared" si="23"/>
        <v>0</v>
      </c>
    </row>
    <row r="105" spans="1:21" ht="15" customHeight="1" x14ac:dyDescent="0.2">
      <c r="A105" s="153">
        <v>84</v>
      </c>
      <c r="B105" s="165" t="s">
        <v>397</v>
      </c>
      <c r="C105" s="166" t="s">
        <v>377</v>
      </c>
      <c r="D105" s="166" t="s">
        <v>325</v>
      </c>
      <c r="E105" s="166" t="s">
        <v>398</v>
      </c>
      <c r="F105" s="166" t="s">
        <v>287</v>
      </c>
      <c r="G105" s="167">
        <v>10.99</v>
      </c>
      <c r="H105" s="167"/>
      <c r="I105" s="167"/>
      <c r="J105" s="153" t="s">
        <v>315</v>
      </c>
      <c r="K105" s="167">
        <v>1</v>
      </c>
      <c r="L105" s="95">
        <f>VLOOKUP(K105,Reinigungstage!A10:C31,3,FALSE)</f>
        <v>39.54</v>
      </c>
      <c r="M105" s="95">
        <f t="shared" si="16"/>
        <v>434.54</v>
      </c>
      <c r="N105" s="168">
        <f t="shared" si="17"/>
        <v>0</v>
      </c>
      <c r="O105" s="95">
        <f ca="1">IF('SVS UnterhaltsRG'!H61="",0,'SVS UnterhaltsRG'!H61)</f>
        <v>0</v>
      </c>
      <c r="P105" s="95">
        <f t="shared" si="18"/>
        <v>0</v>
      </c>
      <c r="Q105" s="95">
        <f t="shared" ca="1" si="19"/>
        <v>0</v>
      </c>
      <c r="R105" s="95">
        <f t="shared" si="20"/>
        <v>0</v>
      </c>
      <c r="S105" s="95">
        <f t="shared" ca="1" si="21"/>
        <v>0</v>
      </c>
      <c r="T105" s="3" t="str">
        <f t="shared" si="22"/>
        <v>Leistungswert eintragen</v>
      </c>
      <c r="U105" s="3">
        <f t="shared" si="23"/>
        <v>0</v>
      </c>
    </row>
    <row r="106" spans="1:21" ht="15" customHeight="1" x14ac:dyDescent="0.2">
      <c r="A106" s="153">
        <v>85</v>
      </c>
      <c r="B106" s="165" t="s">
        <v>399</v>
      </c>
      <c r="C106" s="166" t="s">
        <v>377</v>
      </c>
      <c r="D106" s="166" t="s">
        <v>325</v>
      </c>
      <c r="E106" s="166" t="s">
        <v>400</v>
      </c>
      <c r="F106" s="166" t="s">
        <v>293</v>
      </c>
      <c r="G106" s="167">
        <v>72.489999999999995</v>
      </c>
      <c r="H106" s="167"/>
      <c r="I106" s="167"/>
      <c r="J106" s="153" t="s">
        <v>401</v>
      </c>
      <c r="K106" s="167">
        <v>1</v>
      </c>
      <c r="L106" s="95">
        <f>VLOOKUP(K106,Reinigungstage!A10:C31,3,FALSE)</f>
        <v>39.54</v>
      </c>
      <c r="M106" s="95">
        <f t="shared" si="16"/>
        <v>2866.25</v>
      </c>
      <c r="N106" s="168">
        <f t="shared" si="17"/>
        <v>0</v>
      </c>
      <c r="O106" s="95">
        <f ca="1">IF('SVS UnterhaltsRG'!H61="",0,'SVS UnterhaltsRG'!H61)</f>
        <v>0</v>
      </c>
      <c r="P106" s="95">
        <f t="shared" si="18"/>
        <v>0</v>
      </c>
      <c r="Q106" s="95">
        <f t="shared" ca="1" si="19"/>
        <v>0</v>
      </c>
      <c r="R106" s="95">
        <f t="shared" si="20"/>
        <v>0</v>
      </c>
      <c r="S106" s="95">
        <f t="shared" ca="1" si="21"/>
        <v>0</v>
      </c>
      <c r="T106" s="3" t="str">
        <f t="shared" si="22"/>
        <v>Leistungswert eintragen</v>
      </c>
      <c r="U106" s="3">
        <f t="shared" si="23"/>
        <v>0</v>
      </c>
    </row>
  </sheetData>
  <sheetProtection algorithmName="SHA-512" hashValue="8eX74K9wlg+421VsSPcaYHFRKLUw+wRQ0M3Wi/faMBY8zKBSMRyLGBwiDCHSvQnkyH1MXImsGzfpq9FijmeIXw==" saltValue="7oDdoKzDoTeb7qolnPuXdQ==" spinCount="100000" sheet="1" objects="1" scenarios="1"/>
  <sortState xmlns:xlrd2="http://schemas.microsoft.com/office/spreadsheetml/2017/richdata2" ref="U4:U13">
    <sortCondition ref="U4"/>
  </sortState>
  <mergeCells count="16">
    <mergeCell ref="B13:E13"/>
    <mergeCell ref="B4:E5"/>
    <mergeCell ref="B6:E6"/>
    <mergeCell ref="B7:E7"/>
    <mergeCell ref="B8:E8"/>
    <mergeCell ref="B9:E9"/>
    <mergeCell ref="B10:E10"/>
    <mergeCell ref="B11:E11"/>
    <mergeCell ref="B12:E12"/>
    <mergeCell ref="N2:Q5"/>
    <mergeCell ref="A4:A5"/>
    <mergeCell ref="A2:E2"/>
    <mergeCell ref="G2:G3"/>
    <mergeCell ref="H2:H3"/>
    <mergeCell ref="I2:I3"/>
    <mergeCell ref="J2:J3"/>
  </mergeCells>
  <conditionalFormatting sqref="T22:T106">
    <cfRule type="containsText" dxfId="167" priority="1" stopIfTrue="1" operator="containsText" text="SVS prüfen">
      <formula>NOT(ISERROR(SEARCH("SVS prüfen",T22)))</formula>
    </cfRule>
    <cfRule type="containsText" dxfId="166" priority="2" stopIfTrue="1" operator="containsText" text="Leistungswert eintragen">
      <formula>NOT(ISERROR(SEARCH("Leistungswert eintragen",T22)))</formula>
    </cfRule>
  </conditionalFormatting>
  <hyperlinks>
    <hyperlink ref="M1" location="Inhaltsverzeichnis!A1" display="Zurück zum Inhaltsverzeichnis" xr:uid="{F2A00085-DAC3-4374-BB56-32E45BA5DB22}"/>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&amp;RKal Unter Grundschule&amp;LStadt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sizeWithCells="1">
                  <from>
                    <xdr:col>12</xdr:col>
                    <xdr:colOff>19050</xdr:colOff>
                    <xdr:row>1</xdr:row>
                    <xdr:rowOff>38100</xdr:rowOff>
                  </from>
                  <to>
                    <xdr:col>12</xdr:col>
                    <xdr:colOff>809625</xdr:colOff>
                    <xdr:row>2</xdr:row>
                    <xdr:rowOff>19050</xdr:rowOff>
                  </to>
                </anchor>
              </controlPr>
            </control>
          </mc:Choice>
        </mc:AlternateContent>
        <mc:AlternateContent xmlns:mc="http://schemas.openxmlformats.org/markup-compatibility/2006">
          <mc:Choice Requires="x14">
            <control shapeId="90114" r:id="rId5" name="Check Box 2">
              <controlPr defaultSize="0" autoFill="0" autoLine="0" autoPict="0" altText="Hinweis 2">
                <anchor moveWithCells="1" sizeWithCells="1">
                  <from>
                    <xdr:col>12</xdr:col>
                    <xdr:colOff>19050</xdr:colOff>
                    <xdr:row>2</xdr:row>
                    <xdr:rowOff>19050</xdr:rowOff>
                  </from>
                  <to>
                    <xdr:col>12</xdr:col>
                    <xdr:colOff>809625</xdr:colOff>
                    <xdr:row>2</xdr:row>
                    <xdr:rowOff>266700</xdr:rowOff>
                  </to>
                </anchor>
              </controlPr>
            </control>
          </mc:Choice>
        </mc:AlternateContent>
        <mc:AlternateContent xmlns:mc="http://schemas.openxmlformats.org/markup-compatibility/2006">
          <mc:Choice Requires="x14">
            <control shapeId="90115" r:id="rId6" name="Check Box 3">
              <controlPr defaultSize="0" autoFill="0" autoLine="0" autoPict="0" altText="Hinweis 3">
                <anchor moveWithCells="1" sizeWithCells="1">
                  <from>
                    <xdr:col>12</xdr:col>
                    <xdr:colOff>19050</xdr:colOff>
                    <xdr:row>3</xdr:row>
                    <xdr:rowOff>9525</xdr:rowOff>
                  </from>
                  <to>
                    <xdr:col>12</xdr:col>
                    <xdr:colOff>809625</xdr:colOff>
                    <xdr:row>4</xdr:row>
                    <xdr:rowOff>57150</xdr:rowOff>
                  </to>
                </anchor>
              </controlPr>
            </control>
          </mc:Choice>
        </mc:AlternateContent>
        <mc:AlternateContent xmlns:mc="http://schemas.openxmlformats.org/markup-compatibility/2006">
          <mc:Choice Requires="x14">
            <control shapeId="90116" r:id="rId7" name="Check Box 4">
              <controlPr defaultSize="0" autoFill="0" autoLine="0" autoPict="0" altText="Hinweis 3">
                <anchor moveWithCells="1" sizeWithCells="1">
                  <from>
                    <xdr:col>12</xdr:col>
                    <xdr:colOff>19050</xdr:colOff>
                    <xdr:row>4</xdr:row>
                    <xdr:rowOff>66675</xdr:rowOff>
                  </from>
                  <to>
                    <xdr:col>12</xdr:col>
                    <xdr:colOff>809625</xdr:colOff>
                    <xdr:row>5</xdr:row>
                    <xdr:rowOff>123825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4B700-1047-4A98-8B75-4DB47E0F7AC8}">
  <sheetPr codeName="Tabelle46">
    <tabColor indexed="40"/>
  </sheetPr>
  <dimension ref="A1:U60"/>
  <sheetViews>
    <sheetView showGridLines="0" zoomScaleNormal="100" workbookViewId="0">
      <pane ySplit="21" topLeftCell="A22" activePane="bottomLeft" state="frozen"/>
      <selection pane="bottomLeft"/>
    </sheetView>
  </sheetViews>
  <sheetFormatPr baseColWidth="10" defaultColWidth="0" defaultRowHeight="15" customHeight="1" x14ac:dyDescent="0.2"/>
  <cols>
    <col min="1" max="1" width="11.7109375" style="3" customWidth="1"/>
    <col min="2" max="2" width="7.7109375" style="3" customWidth="1"/>
    <col min="3" max="3" width="5.7109375" style="3" customWidth="1"/>
    <col min="4" max="4" width="8.28515625" style="3" customWidth="1"/>
    <col min="5" max="5" width="21.7109375" style="3" customWidth="1"/>
    <col min="6" max="6" width="14.85546875" style="3" customWidth="1"/>
    <col min="7" max="7" width="10.7109375" style="3" customWidth="1"/>
    <col min="8" max="8" width="9.7109375" style="3" customWidth="1"/>
    <col min="9" max="9" width="11.7109375" style="3" customWidth="1"/>
    <col min="10" max="10" width="10.5703125" style="3" bestFit="1" customWidth="1"/>
    <col min="11" max="11" width="7.85546875" style="3" customWidth="1"/>
    <col min="12" max="12" width="8.7109375" style="3" customWidth="1"/>
    <col min="13" max="13" width="12.140625" style="3" customWidth="1"/>
    <col min="14" max="14" width="9.42578125" style="3" customWidth="1"/>
    <col min="15" max="15" width="8.42578125" style="3" customWidth="1"/>
    <col min="16" max="17" width="11.42578125" style="3" customWidth="1"/>
    <col min="18" max="19" width="11.28515625" style="3" customWidth="1"/>
    <col min="20" max="20" width="22.28515625" style="3" customWidth="1"/>
    <col min="21" max="21" width="0" style="3" hidden="1" customWidth="1"/>
    <col min="22" max="16384" width="11.42578125" style="3" hidden="1"/>
  </cols>
  <sheetData>
    <row r="1" spans="1:21" ht="15" customHeight="1" x14ac:dyDescent="0.2">
      <c r="M1" s="5" t="s">
        <v>100</v>
      </c>
    </row>
    <row r="2" spans="1:21" ht="21" customHeight="1" x14ac:dyDescent="0.2">
      <c r="A2" s="217" t="s">
        <v>177</v>
      </c>
      <c r="B2" s="218"/>
      <c r="C2" s="218"/>
      <c r="D2" s="218" t="b">
        <v>0</v>
      </c>
      <c r="E2" s="219"/>
      <c r="G2" s="220" t="s">
        <v>190</v>
      </c>
      <c r="H2" s="220" t="s">
        <v>182</v>
      </c>
      <c r="I2" s="220" t="s">
        <v>183</v>
      </c>
      <c r="J2" s="220" t="s">
        <v>202</v>
      </c>
      <c r="M2" s="23" t="b">
        <v>0</v>
      </c>
      <c r="N2" s="192" t="str">
        <f>IF(M2=TRUE,"Bitte tragen Sie Ihre Leistungswerte in die gelben Zellen direkt unter der Zelle Leistungswerte (m²/h) ein. Die Leistungswerte werden automatisch in die untere Kalkulation übernommen. Die linke Tabelle ist lediglich eine Ausfüllhilfe.",IF(M3=TRUE,"Wenn eine Jahresreinigungsfläche für eine Reinigungsgruppe mit 0 angegeben ist, brauchen Sie den Leistungswert nicht auszufüllen. Es schadet aber nichts, wenn Sie es trotzdem tun.",IF(M4=TRUE,"Sie können in der Kalkulationstabelle (unten) in jedem einzelnen Raum die Leistungswerte (gelbe Zellen) beliebig oft individuell anpassen. Mit dem individuellen Überschreiben wird die Verknüpfung zu den Leistungswerten in der obigen Tabelle aufgehoben.",IF( M5=TRUE,"Die rot markierten Informationen sind auch lediglich eine Unterstützung. Sie erscheinen, wenn gelbe Zellen in dieser Tabelle oder in den Stundenverrechnungssätzen (SVS) nicht ausgefüllt sind. Wenn keine rote Schrift mehr da ist, ist alles vollständig.",""))))</f>
        <v/>
      </c>
      <c r="O2" s="192"/>
      <c r="P2" s="192"/>
      <c r="Q2" s="192"/>
    </row>
    <row r="3" spans="1:21" ht="21" customHeight="1" x14ac:dyDescent="0.2">
      <c r="A3" s="154" t="s">
        <v>274</v>
      </c>
      <c r="B3" s="155"/>
      <c r="C3" s="155"/>
      <c r="D3" s="155"/>
      <c r="E3" s="156"/>
      <c r="G3" s="221"/>
      <c r="H3" s="221" t="b">
        <v>0</v>
      </c>
      <c r="I3" s="221"/>
      <c r="J3" s="221"/>
      <c r="M3" s="23" t="b">
        <v>0</v>
      </c>
      <c r="N3" s="192"/>
      <c r="O3" s="192"/>
      <c r="P3" s="192"/>
      <c r="Q3" s="192"/>
    </row>
    <row r="4" spans="1:21" ht="15" customHeight="1" x14ac:dyDescent="0.2">
      <c r="A4" s="215" t="s">
        <v>91</v>
      </c>
      <c r="B4" s="225" t="str">
        <f>IF(Inhaltsverzeichnis!C3="","",Inhaltsverzeichnis!C3)</f>
        <v/>
      </c>
      <c r="C4" s="226"/>
      <c r="D4" s="226"/>
      <c r="E4" s="227"/>
      <c r="G4" s="153" t="s">
        <v>402</v>
      </c>
      <c r="H4" s="157"/>
      <c r="I4" s="158">
        <f ca="1">SUMIF('Kal Unter Fer Grundschule'!J22:M60,$G$4,'Kal Unter Fer Grundschule'!M22:M60)</f>
        <v>1551.39</v>
      </c>
      <c r="J4" s="118">
        <f>COUNTIFS('Kal Unter Fer Grundschule'!J22:M60,$G$4)</f>
        <v>4</v>
      </c>
      <c r="M4" s="23" t="b">
        <v>0</v>
      </c>
      <c r="N4" s="192"/>
      <c r="O4" s="192"/>
      <c r="P4" s="192"/>
      <c r="Q4" s="192"/>
      <c r="U4" s="153" t="s">
        <v>402</v>
      </c>
    </row>
    <row r="5" spans="1:21" ht="15" customHeight="1" x14ac:dyDescent="0.2">
      <c r="A5" s="216"/>
      <c r="B5" s="228"/>
      <c r="C5" s="229"/>
      <c r="D5" s="229"/>
      <c r="E5" s="230"/>
      <c r="G5" s="153" t="s">
        <v>315</v>
      </c>
      <c r="H5" s="157"/>
      <c r="I5" s="158">
        <f ca="1">SUMIF('Kal Unter Fer Grundschule'!J22:M60,$G$5,'Kal Unter Fer Grundschule'!M22:M60)</f>
        <v>560.29999999999995</v>
      </c>
      <c r="J5" s="118">
        <f>COUNTIFS('Kal Unter Fer Grundschule'!J22:M60,$G$5)</f>
        <v>1</v>
      </c>
      <c r="M5" s="23" t="b">
        <v>0</v>
      </c>
      <c r="N5" s="192"/>
      <c r="O5" s="192"/>
      <c r="P5" s="192"/>
      <c r="Q5" s="192"/>
      <c r="U5" s="153" t="s">
        <v>315</v>
      </c>
    </row>
    <row r="6" spans="1:21" ht="15" customHeight="1" x14ac:dyDescent="0.2">
      <c r="A6" s="159" t="s">
        <v>200</v>
      </c>
      <c r="B6" s="231" t="s">
        <v>245</v>
      </c>
      <c r="C6" s="232"/>
      <c r="D6" s="232"/>
      <c r="E6" s="233"/>
      <c r="G6" s="153" t="s">
        <v>403</v>
      </c>
      <c r="H6" s="157"/>
      <c r="I6" s="158">
        <f ca="1">SUMIF('Kal Unter Fer Grundschule'!J22:M60,$G$6,'Kal Unter Fer Grundschule'!M22:M60)</f>
        <v>7979.9500000000007</v>
      </c>
      <c r="J6" s="118">
        <f>COUNTIFS('Kal Unter Fer Grundschule'!J22:M60,$G$6)</f>
        <v>3</v>
      </c>
      <c r="U6" s="153" t="s">
        <v>403</v>
      </c>
    </row>
    <row r="7" spans="1:21" ht="15" customHeight="1" x14ac:dyDescent="0.2">
      <c r="A7" s="160" t="s">
        <v>198</v>
      </c>
      <c r="B7" s="234" t="s">
        <v>250</v>
      </c>
      <c r="C7" s="232"/>
      <c r="D7" s="232"/>
      <c r="E7" s="233"/>
      <c r="G7" s="153" t="s">
        <v>314</v>
      </c>
      <c r="H7" s="157"/>
      <c r="I7" s="158">
        <f ca="1">SUMIF('Kal Unter Fer Grundschule'!J22:M60,$G$7,'Kal Unter Fer Grundschule'!M22:M60)</f>
        <v>3872</v>
      </c>
      <c r="J7" s="118">
        <f>COUNTIFS('Kal Unter Fer Grundschule'!J22:M60,$G$7)</f>
        <v>5</v>
      </c>
      <c r="U7" s="153" t="s">
        <v>314</v>
      </c>
    </row>
    <row r="8" spans="1:21" ht="15" customHeight="1" x14ac:dyDescent="0.2">
      <c r="A8" s="160" t="s">
        <v>199</v>
      </c>
      <c r="B8" s="231"/>
      <c r="C8" s="232"/>
      <c r="D8" s="232"/>
      <c r="E8" s="233"/>
      <c r="G8" s="153" t="s">
        <v>310</v>
      </c>
      <c r="H8" s="157"/>
      <c r="I8" s="158">
        <f ca="1">SUMIF('Kal Unter Fer Grundschule'!J22:M60,$G$8,'Kal Unter Fer Grundschule'!M22:M60)</f>
        <v>2661.4500000000003</v>
      </c>
      <c r="J8" s="118">
        <f>COUNTIFS('Kal Unter Fer Grundschule'!J22:M60,$G$8)</f>
        <v>7</v>
      </c>
      <c r="U8" s="153" t="s">
        <v>312</v>
      </c>
    </row>
    <row r="9" spans="1:21" ht="15" customHeight="1" x14ac:dyDescent="0.2">
      <c r="A9" s="159" t="s">
        <v>197</v>
      </c>
      <c r="B9" s="235" t="s">
        <v>250</v>
      </c>
      <c r="C9" s="232"/>
      <c r="D9" s="232"/>
      <c r="E9" s="233"/>
      <c r="G9" s="153" t="s">
        <v>291</v>
      </c>
      <c r="H9" s="157"/>
      <c r="I9" s="158">
        <f ca="1">SUMIF('Kal Unter Fer Grundschule'!J22:M60,$G$9,'Kal Unter Fer Grundschule'!M22:M60)</f>
        <v>1789.15</v>
      </c>
      <c r="J9" s="118">
        <f>COUNTIFS('Kal Unter Fer Grundschule'!J22:M60,$G$9)</f>
        <v>2</v>
      </c>
      <c r="U9" s="153" t="s">
        <v>310</v>
      </c>
    </row>
    <row r="10" spans="1:21" ht="15" customHeight="1" x14ac:dyDescent="0.2">
      <c r="A10" s="160" t="s">
        <v>179</v>
      </c>
      <c r="B10" s="231" t="s">
        <v>251</v>
      </c>
      <c r="C10" s="232"/>
      <c r="D10" s="232"/>
      <c r="E10" s="233"/>
      <c r="G10" s="153" t="s">
        <v>401</v>
      </c>
      <c r="H10" s="157"/>
      <c r="I10" s="158">
        <f ca="1">SUMIF('Kal Unter Fer Grundschule'!J22:M60,$G$10,'Kal Unter Fer Grundschule'!M22:M60)</f>
        <v>6714.95</v>
      </c>
      <c r="J10" s="118">
        <f>COUNTIFS('Kal Unter Fer Grundschule'!J22:M60,$G$10)</f>
        <v>4</v>
      </c>
      <c r="U10" s="153" t="s">
        <v>291</v>
      </c>
    </row>
    <row r="11" spans="1:21" ht="15" customHeight="1" x14ac:dyDescent="0.2">
      <c r="A11" s="160" t="s">
        <v>180</v>
      </c>
      <c r="B11" s="236" t="s">
        <v>248</v>
      </c>
      <c r="C11" s="232"/>
      <c r="D11" s="232"/>
      <c r="E11" s="233"/>
      <c r="G11" s="153" t="s">
        <v>313</v>
      </c>
      <c r="H11" s="157"/>
      <c r="I11" s="158">
        <f ca="1">SUMIF('Kal Unter Fer Grundschule'!J22:M60,$G$11,'Kal Unter Fer Grundschule'!M22:M60)</f>
        <v>23582.35</v>
      </c>
      <c r="J11" s="118">
        <f>COUNTIFS('Kal Unter Fer Grundschule'!J22:M60,$G$11)</f>
        <v>12</v>
      </c>
      <c r="U11" s="153" t="s">
        <v>401</v>
      </c>
    </row>
    <row r="12" spans="1:21" ht="15" customHeight="1" x14ac:dyDescent="0.2">
      <c r="A12" s="160" t="s">
        <v>181</v>
      </c>
      <c r="B12" s="231" t="s">
        <v>249</v>
      </c>
      <c r="C12" s="232"/>
      <c r="D12" s="232"/>
      <c r="E12" s="233"/>
      <c r="G12" s="153" t="s">
        <v>404</v>
      </c>
      <c r="H12" s="157"/>
      <c r="I12" s="158">
        <f ca="1">SUMIF('Kal Unter Fer Grundschule'!J22:M60,$G$12,'Kal Unter Fer Grundschule'!M22:M60)</f>
        <v>5320.7</v>
      </c>
      <c r="J12" s="118">
        <f>COUNTIFS('Kal Unter Fer Grundschule'!J22:M60,$G$12)</f>
        <v>1</v>
      </c>
      <c r="U12" s="153" t="s">
        <v>313</v>
      </c>
    </row>
    <row r="13" spans="1:21" ht="15" customHeight="1" x14ac:dyDescent="0.2">
      <c r="A13" s="160" t="s">
        <v>184</v>
      </c>
      <c r="B13" s="222" t="str">
        <f>HYPERLINK("http://maps.google.de/maps?hl=de&amp;bav=on.2,or.r_qf.&amp;bvm=bv.44770516,d.Yms&amp;biw=1395&amp;bih=916&amp;um=1&amp;ie=UTF-8&amp;q="&amp;B7&amp;"+"&amp;B8&amp;"+"&amp;B10&amp;"+"&amp;B11&amp;"+"&amp;B12&amp;"","In Google-Maps anzeigen (wenn Internet verfügbar)")</f>
        <v>In Google-Maps anzeigen (wenn Internet verfügbar)</v>
      </c>
      <c r="C13" s="223"/>
      <c r="D13" s="223"/>
      <c r="E13" s="224"/>
      <c r="U13" s="153" t="s">
        <v>404</v>
      </c>
    </row>
    <row r="14" spans="1:21" ht="15" customHeight="1" x14ac:dyDescent="0.2">
      <c r="T14" s="161">
        <f>IF(COUNTA($T$22:$T$60)-COUNTBLANK($T$22:$T$60)=0,"",COUNTA($T$22:$T$60)-COUNTBLANK($T$22:$T$60))</f>
        <v>39</v>
      </c>
    </row>
    <row r="15" spans="1:21" ht="15" hidden="1" customHeight="1" x14ac:dyDescent="0.2"/>
    <row r="16" spans="1:21" ht="15" hidden="1" customHeight="1" x14ac:dyDescent="0.2"/>
    <row r="17" spans="1:21" ht="15" hidden="1" customHeight="1" x14ac:dyDescent="0.2"/>
    <row r="18" spans="1:21" ht="15" hidden="1" customHeight="1" x14ac:dyDescent="0.2"/>
    <row r="19" spans="1:21" ht="15" hidden="1" customHeight="1" x14ac:dyDescent="0.2"/>
    <row r="20" spans="1:21" ht="45" customHeight="1" x14ac:dyDescent="0.2">
      <c r="A20" s="1" t="s">
        <v>92</v>
      </c>
      <c r="B20" s="1" t="s">
        <v>97</v>
      </c>
      <c r="C20" s="1" t="s">
        <v>93</v>
      </c>
      <c r="D20" s="1" t="s">
        <v>94</v>
      </c>
      <c r="E20" s="1" t="s">
        <v>98</v>
      </c>
      <c r="F20" s="1" t="s">
        <v>95</v>
      </c>
      <c r="G20" s="1" t="s">
        <v>121</v>
      </c>
      <c r="H20" s="1" t="s">
        <v>108</v>
      </c>
      <c r="I20" s="1" t="s">
        <v>109</v>
      </c>
      <c r="J20" s="1" t="s">
        <v>99</v>
      </c>
      <c r="K20" s="1" t="s">
        <v>106</v>
      </c>
      <c r="L20" s="1" t="s">
        <v>141</v>
      </c>
      <c r="M20" s="1" t="s">
        <v>111</v>
      </c>
      <c r="N20" s="1" t="s">
        <v>107</v>
      </c>
      <c r="O20" s="1" t="s">
        <v>112</v>
      </c>
      <c r="P20" s="1" t="s">
        <v>113</v>
      </c>
      <c r="Q20" s="1" t="s">
        <v>114</v>
      </c>
      <c r="R20" s="1" t="s">
        <v>201</v>
      </c>
      <c r="S20" s="1" t="s">
        <v>140</v>
      </c>
    </row>
    <row r="21" spans="1:21" ht="29.1" customHeight="1" x14ac:dyDescent="0.2">
      <c r="A21" s="162" t="s">
        <v>125</v>
      </c>
      <c r="B21" s="14"/>
      <c r="C21" s="14"/>
      <c r="D21" s="14"/>
      <c r="E21" s="14"/>
      <c r="F21" s="14"/>
      <c r="G21" s="163">
        <f>SUM($G$22:$G$60)</f>
        <v>1096.28</v>
      </c>
      <c r="H21" s="163">
        <f>SUM($H$22:$H$60)</f>
        <v>27.16</v>
      </c>
      <c r="I21" s="163">
        <f>SUM($I$22:$I$60)</f>
        <v>3</v>
      </c>
      <c r="J21" s="95"/>
      <c r="K21" s="95"/>
      <c r="L21" s="164">
        <f>MAX(L22:L60)</f>
        <v>55</v>
      </c>
      <c r="M21" s="163">
        <f>SUM($M$22:$M$60)</f>
        <v>54032.239999999983</v>
      </c>
      <c r="N21" s="95"/>
      <c r="O21" s="95"/>
      <c r="P21" s="163">
        <f>SUM($P$22:$P$60)</f>
        <v>0</v>
      </c>
      <c r="Q21" s="163">
        <f ca="1">SUM($Q$22:$Q$60)</f>
        <v>0</v>
      </c>
      <c r="R21" s="163">
        <f>ROUND(IF(L21=0,0,P21/L21),2)</f>
        <v>0</v>
      </c>
      <c r="S21" s="163">
        <f ca="1">ROUND(IF(L21=0,0,Q21/L21),2)</f>
        <v>0</v>
      </c>
    </row>
    <row r="22" spans="1:21" ht="15" customHeight="1" x14ac:dyDescent="0.2">
      <c r="A22" s="153">
        <v>1</v>
      </c>
      <c r="B22" s="165" t="s">
        <v>324</v>
      </c>
      <c r="C22" s="166" t="s">
        <v>306</v>
      </c>
      <c r="D22" s="166" t="s">
        <v>325</v>
      </c>
      <c r="E22" s="166" t="s">
        <v>288</v>
      </c>
      <c r="F22" s="166" t="s">
        <v>287</v>
      </c>
      <c r="G22" s="167">
        <v>49.13</v>
      </c>
      <c r="H22" s="167"/>
      <c r="I22" s="167"/>
      <c r="J22" s="153" t="s">
        <v>313</v>
      </c>
      <c r="K22" s="167">
        <v>5</v>
      </c>
      <c r="L22" s="95">
        <f>VLOOKUP(K22,Reinigungstage!A10:R31,18,FALSE)</f>
        <v>55</v>
      </c>
      <c r="M22" s="95">
        <f t="shared" ref="M22:M36" si="0">ROUND(IF(L22=0,0,L22*G22),2)</f>
        <v>2702.15</v>
      </c>
      <c r="N22" s="168">
        <f t="shared" ref="N22:N60" si="1">VLOOKUP(J22,$G$4:$H$12,2,FALSE)</f>
        <v>0</v>
      </c>
      <c r="O22" s="95">
        <f ca="1">IF('SVS UnterhaltsRG'!H61="",0,'SVS UnterhaltsRG'!H61)</f>
        <v>0</v>
      </c>
      <c r="P22" s="95">
        <f t="shared" ref="P22:P36" si="2">ROUND(IF(N22=0,0,M22/N22),2)</f>
        <v>0</v>
      </c>
      <c r="Q22" s="95">
        <f t="shared" ref="Q22:Q36" ca="1" si="3">IF(M22=0,0,IF(O22="",0,ROUND(P22*O22,2)))</f>
        <v>0</v>
      </c>
      <c r="R22" s="95">
        <f t="shared" ref="R22:R36" si="4">ROUND(IF(P22=0,0,P22/L22),2)</f>
        <v>0</v>
      </c>
      <c r="S22" s="95">
        <f t="shared" ref="S22:S36" ca="1" si="5">ROUND(IF(Q22=0,0,Q22/L22),2)</f>
        <v>0</v>
      </c>
      <c r="T22" s="3" t="str">
        <f t="shared" ref="T22:T36" si="6">IF(M22=0,"",IF(N22=0,"Leistungswert eintragen",IF(O22=0,"SVS prüfen","")))</f>
        <v>Leistungswert eintragen</v>
      </c>
      <c r="U22" s="3">
        <f t="shared" ref="U22:U36" si="7">VLOOKUP(J22,$U$4:$V$13,2,FALSE)</f>
        <v>0</v>
      </c>
    </row>
    <row r="23" spans="1:21" ht="15" customHeight="1" x14ac:dyDescent="0.2">
      <c r="A23" s="153">
        <v>2</v>
      </c>
      <c r="B23" s="165"/>
      <c r="C23" s="166" t="s">
        <v>306</v>
      </c>
      <c r="D23" s="166" t="s">
        <v>325</v>
      </c>
      <c r="E23" s="166" t="s">
        <v>326</v>
      </c>
      <c r="F23" s="166" t="s">
        <v>287</v>
      </c>
      <c r="G23" s="167">
        <v>15.05</v>
      </c>
      <c r="H23" s="167"/>
      <c r="I23" s="167"/>
      <c r="J23" s="153" t="s">
        <v>402</v>
      </c>
      <c r="K23" s="167">
        <v>1</v>
      </c>
      <c r="L23" s="95">
        <f>VLOOKUP(K23,Reinigungstage!A10:R31,18,FALSE)</f>
        <v>11.43</v>
      </c>
      <c r="M23" s="95">
        <f t="shared" si="0"/>
        <v>172.02</v>
      </c>
      <c r="N23" s="168">
        <f t="shared" si="1"/>
        <v>0</v>
      </c>
      <c r="O23" s="95">
        <f ca="1">IF('SVS UnterhaltsRG'!H61="",0,'SVS UnterhaltsRG'!H61)</f>
        <v>0</v>
      </c>
      <c r="P23" s="95">
        <f t="shared" si="2"/>
        <v>0</v>
      </c>
      <c r="Q23" s="95">
        <f t="shared" ca="1" si="3"/>
        <v>0</v>
      </c>
      <c r="R23" s="95">
        <f t="shared" si="4"/>
        <v>0</v>
      </c>
      <c r="S23" s="95">
        <f t="shared" ca="1" si="5"/>
        <v>0</v>
      </c>
      <c r="T23" s="3" t="str">
        <f t="shared" si="6"/>
        <v>Leistungswert eintragen</v>
      </c>
      <c r="U23" s="3">
        <f t="shared" si="7"/>
        <v>0</v>
      </c>
    </row>
    <row r="24" spans="1:21" ht="15" customHeight="1" x14ac:dyDescent="0.2">
      <c r="A24" s="153">
        <v>3</v>
      </c>
      <c r="B24" s="165"/>
      <c r="C24" s="166" t="s">
        <v>306</v>
      </c>
      <c r="D24" s="166" t="s">
        <v>325</v>
      </c>
      <c r="E24" s="166" t="s">
        <v>327</v>
      </c>
      <c r="F24" s="166" t="s">
        <v>287</v>
      </c>
      <c r="G24" s="167">
        <v>51.5</v>
      </c>
      <c r="H24" s="167"/>
      <c r="I24" s="167"/>
      <c r="J24" s="153" t="s">
        <v>313</v>
      </c>
      <c r="K24" s="167">
        <v>5</v>
      </c>
      <c r="L24" s="95">
        <f>VLOOKUP(K24,Reinigungstage!A10:R31,18,FALSE)</f>
        <v>55</v>
      </c>
      <c r="M24" s="95">
        <f t="shared" si="0"/>
        <v>2832.5</v>
      </c>
      <c r="N24" s="168">
        <f t="shared" si="1"/>
        <v>0</v>
      </c>
      <c r="O24" s="95">
        <f ca="1">IF('SVS UnterhaltsRG'!H61="",0,'SVS UnterhaltsRG'!H61)</f>
        <v>0</v>
      </c>
      <c r="P24" s="95">
        <f t="shared" si="2"/>
        <v>0</v>
      </c>
      <c r="Q24" s="95">
        <f t="shared" ca="1" si="3"/>
        <v>0</v>
      </c>
      <c r="R24" s="95">
        <f t="shared" si="4"/>
        <v>0</v>
      </c>
      <c r="S24" s="95">
        <f t="shared" ca="1" si="5"/>
        <v>0</v>
      </c>
      <c r="T24" s="3" t="str">
        <f t="shared" si="6"/>
        <v>Leistungswert eintragen</v>
      </c>
      <c r="U24" s="3">
        <f t="shared" si="7"/>
        <v>0</v>
      </c>
    </row>
    <row r="25" spans="1:21" ht="15" customHeight="1" x14ac:dyDescent="0.2">
      <c r="A25" s="153">
        <v>4</v>
      </c>
      <c r="B25" s="165"/>
      <c r="C25" s="166" t="s">
        <v>306</v>
      </c>
      <c r="D25" s="166" t="s">
        <v>325</v>
      </c>
      <c r="E25" s="166" t="s">
        <v>291</v>
      </c>
      <c r="F25" s="166" t="s">
        <v>287</v>
      </c>
      <c r="G25" s="167">
        <v>16.34</v>
      </c>
      <c r="H25" s="167"/>
      <c r="I25" s="167"/>
      <c r="J25" s="153" t="s">
        <v>291</v>
      </c>
      <c r="K25" s="167">
        <v>5</v>
      </c>
      <c r="L25" s="95">
        <f>VLOOKUP(K25,Reinigungstage!A10:R31,18,FALSE)</f>
        <v>55</v>
      </c>
      <c r="M25" s="95">
        <f t="shared" si="0"/>
        <v>898.7</v>
      </c>
      <c r="N25" s="168">
        <f t="shared" si="1"/>
        <v>0</v>
      </c>
      <c r="O25" s="95">
        <f ca="1">IF('SVS UnterhaltsRG'!H61="",0,'SVS UnterhaltsRG'!H61)</f>
        <v>0</v>
      </c>
      <c r="P25" s="95">
        <f t="shared" si="2"/>
        <v>0</v>
      </c>
      <c r="Q25" s="95">
        <f t="shared" ca="1" si="3"/>
        <v>0</v>
      </c>
      <c r="R25" s="95">
        <f t="shared" si="4"/>
        <v>0</v>
      </c>
      <c r="S25" s="95">
        <f t="shared" ca="1" si="5"/>
        <v>0</v>
      </c>
      <c r="T25" s="3" t="str">
        <f t="shared" si="6"/>
        <v>Leistungswert eintragen</v>
      </c>
      <c r="U25" s="3">
        <f t="shared" si="7"/>
        <v>0</v>
      </c>
    </row>
    <row r="26" spans="1:21" ht="15" customHeight="1" x14ac:dyDescent="0.2">
      <c r="A26" s="153">
        <v>5</v>
      </c>
      <c r="B26" s="165" t="s">
        <v>328</v>
      </c>
      <c r="C26" s="166" t="s">
        <v>306</v>
      </c>
      <c r="D26" s="166" t="s">
        <v>325</v>
      </c>
      <c r="E26" s="166" t="s">
        <v>329</v>
      </c>
      <c r="F26" s="166" t="s">
        <v>330</v>
      </c>
      <c r="G26" s="167">
        <v>48.6</v>
      </c>
      <c r="H26" s="167"/>
      <c r="I26" s="167">
        <v>1</v>
      </c>
      <c r="J26" s="153" t="s">
        <v>403</v>
      </c>
      <c r="K26" s="167">
        <v>5</v>
      </c>
      <c r="L26" s="95">
        <f>VLOOKUP(K26,Reinigungstage!A10:R31,18,FALSE)</f>
        <v>55</v>
      </c>
      <c r="M26" s="95">
        <f t="shared" si="0"/>
        <v>2673</v>
      </c>
      <c r="N26" s="168">
        <f t="shared" si="1"/>
        <v>0</v>
      </c>
      <c r="O26" s="95">
        <f ca="1">IF('SVS UnterhaltsRG'!H61="",0,'SVS UnterhaltsRG'!H61)</f>
        <v>0</v>
      </c>
      <c r="P26" s="95">
        <f t="shared" si="2"/>
        <v>0</v>
      </c>
      <c r="Q26" s="95">
        <f t="shared" ca="1" si="3"/>
        <v>0</v>
      </c>
      <c r="R26" s="95">
        <f t="shared" si="4"/>
        <v>0</v>
      </c>
      <c r="S26" s="95">
        <f t="shared" ca="1" si="5"/>
        <v>0</v>
      </c>
      <c r="T26" s="3" t="str">
        <f t="shared" si="6"/>
        <v>Leistungswert eintragen</v>
      </c>
      <c r="U26" s="3">
        <f t="shared" si="7"/>
        <v>0</v>
      </c>
    </row>
    <row r="27" spans="1:21" ht="15" customHeight="1" x14ac:dyDescent="0.2">
      <c r="A27" s="153">
        <v>6</v>
      </c>
      <c r="B27" s="165" t="s">
        <v>331</v>
      </c>
      <c r="C27" s="166" t="s">
        <v>306</v>
      </c>
      <c r="D27" s="166" t="s">
        <v>325</v>
      </c>
      <c r="E27" s="166" t="s">
        <v>329</v>
      </c>
      <c r="F27" s="166" t="s">
        <v>287</v>
      </c>
      <c r="G27" s="167">
        <v>48.57</v>
      </c>
      <c r="H27" s="167">
        <v>11.67</v>
      </c>
      <c r="I27" s="167"/>
      <c r="J27" s="153" t="s">
        <v>403</v>
      </c>
      <c r="K27" s="167">
        <v>5</v>
      </c>
      <c r="L27" s="95">
        <f>VLOOKUP(K27,Reinigungstage!A10:R31,18,FALSE)</f>
        <v>55</v>
      </c>
      <c r="M27" s="95">
        <f t="shared" si="0"/>
        <v>2671.35</v>
      </c>
      <c r="N27" s="168">
        <f t="shared" si="1"/>
        <v>0</v>
      </c>
      <c r="O27" s="95">
        <f ca="1">IF('SVS UnterhaltsRG'!H61="",0,'SVS UnterhaltsRG'!H61)</f>
        <v>0</v>
      </c>
      <c r="P27" s="95">
        <f t="shared" si="2"/>
        <v>0</v>
      </c>
      <c r="Q27" s="95">
        <f t="shared" ca="1" si="3"/>
        <v>0</v>
      </c>
      <c r="R27" s="95">
        <f t="shared" si="4"/>
        <v>0</v>
      </c>
      <c r="S27" s="95">
        <f t="shared" ca="1" si="5"/>
        <v>0</v>
      </c>
      <c r="T27" s="3" t="str">
        <f t="shared" si="6"/>
        <v>Leistungswert eintragen</v>
      </c>
      <c r="U27" s="3">
        <f t="shared" si="7"/>
        <v>0</v>
      </c>
    </row>
    <row r="28" spans="1:21" ht="15" customHeight="1" x14ac:dyDescent="0.2">
      <c r="A28" s="153">
        <v>7</v>
      </c>
      <c r="B28" s="165" t="s">
        <v>332</v>
      </c>
      <c r="C28" s="166" t="s">
        <v>306</v>
      </c>
      <c r="D28" s="166" t="s">
        <v>325</v>
      </c>
      <c r="E28" s="166" t="s">
        <v>329</v>
      </c>
      <c r="F28" s="166" t="s">
        <v>287</v>
      </c>
      <c r="G28" s="167">
        <v>47.92</v>
      </c>
      <c r="H28" s="167">
        <v>7.72</v>
      </c>
      <c r="I28" s="167"/>
      <c r="J28" s="153" t="s">
        <v>403</v>
      </c>
      <c r="K28" s="167">
        <v>5</v>
      </c>
      <c r="L28" s="95">
        <f>VLOOKUP(K28,Reinigungstage!A10:R31,18,FALSE)</f>
        <v>55</v>
      </c>
      <c r="M28" s="95">
        <f t="shared" si="0"/>
        <v>2635.6</v>
      </c>
      <c r="N28" s="168">
        <f t="shared" si="1"/>
        <v>0</v>
      </c>
      <c r="O28" s="95">
        <f ca="1">IF('SVS UnterhaltsRG'!H61="",0,'SVS UnterhaltsRG'!H61)</f>
        <v>0</v>
      </c>
      <c r="P28" s="95">
        <f t="shared" si="2"/>
        <v>0</v>
      </c>
      <c r="Q28" s="95">
        <f t="shared" ca="1" si="3"/>
        <v>0</v>
      </c>
      <c r="R28" s="95">
        <f t="shared" si="4"/>
        <v>0</v>
      </c>
      <c r="S28" s="95">
        <f t="shared" ca="1" si="5"/>
        <v>0</v>
      </c>
      <c r="T28" s="3" t="str">
        <f t="shared" si="6"/>
        <v>Leistungswert eintragen</v>
      </c>
      <c r="U28" s="3">
        <f t="shared" si="7"/>
        <v>0</v>
      </c>
    </row>
    <row r="29" spans="1:21" ht="15" customHeight="1" x14ac:dyDescent="0.2">
      <c r="A29" s="153">
        <v>8</v>
      </c>
      <c r="B29" s="165"/>
      <c r="C29" s="166" t="s">
        <v>306</v>
      </c>
      <c r="D29" s="166" t="s">
        <v>325</v>
      </c>
      <c r="E29" s="166" t="s">
        <v>333</v>
      </c>
      <c r="F29" s="166" t="s">
        <v>334</v>
      </c>
      <c r="G29" s="167">
        <v>6.79</v>
      </c>
      <c r="H29" s="167"/>
      <c r="I29" s="167"/>
      <c r="J29" s="153" t="s">
        <v>310</v>
      </c>
      <c r="K29" s="167">
        <v>5</v>
      </c>
      <c r="L29" s="95">
        <f>VLOOKUP(K29,Reinigungstage!A10:R31,18,FALSE)</f>
        <v>55</v>
      </c>
      <c r="M29" s="95">
        <f t="shared" si="0"/>
        <v>373.45</v>
      </c>
      <c r="N29" s="168">
        <f t="shared" si="1"/>
        <v>0</v>
      </c>
      <c r="O29" s="95">
        <f ca="1">IF('SVS UnterhaltsRG'!H61="",0,'SVS UnterhaltsRG'!H61)</f>
        <v>0</v>
      </c>
      <c r="P29" s="95">
        <f t="shared" si="2"/>
        <v>0</v>
      </c>
      <c r="Q29" s="95">
        <f t="shared" ca="1" si="3"/>
        <v>0</v>
      </c>
      <c r="R29" s="95">
        <f t="shared" si="4"/>
        <v>0</v>
      </c>
      <c r="S29" s="95">
        <f t="shared" ca="1" si="5"/>
        <v>0</v>
      </c>
      <c r="T29" s="3" t="str">
        <f t="shared" si="6"/>
        <v>Leistungswert eintragen</v>
      </c>
      <c r="U29" s="3">
        <f t="shared" si="7"/>
        <v>0</v>
      </c>
    </row>
    <row r="30" spans="1:21" ht="15" customHeight="1" x14ac:dyDescent="0.2">
      <c r="A30" s="153">
        <v>9</v>
      </c>
      <c r="B30" s="165"/>
      <c r="C30" s="166" t="s">
        <v>306</v>
      </c>
      <c r="D30" s="166" t="s">
        <v>325</v>
      </c>
      <c r="E30" s="166" t="s">
        <v>310</v>
      </c>
      <c r="F30" s="166" t="s">
        <v>293</v>
      </c>
      <c r="G30" s="167">
        <v>4.96</v>
      </c>
      <c r="H30" s="167"/>
      <c r="I30" s="167"/>
      <c r="J30" s="153" t="s">
        <v>310</v>
      </c>
      <c r="K30" s="167">
        <v>5</v>
      </c>
      <c r="L30" s="95">
        <f>VLOOKUP(K30,Reinigungstage!A10:R31,18,FALSE)</f>
        <v>55</v>
      </c>
      <c r="M30" s="95">
        <f t="shared" si="0"/>
        <v>272.8</v>
      </c>
      <c r="N30" s="168">
        <f t="shared" si="1"/>
        <v>0</v>
      </c>
      <c r="O30" s="95">
        <f ca="1">IF('SVS UnterhaltsRG'!H61="",0,'SVS UnterhaltsRG'!H61)</f>
        <v>0</v>
      </c>
      <c r="P30" s="95">
        <f t="shared" si="2"/>
        <v>0</v>
      </c>
      <c r="Q30" s="95">
        <f t="shared" ca="1" si="3"/>
        <v>0</v>
      </c>
      <c r="R30" s="95">
        <f t="shared" si="4"/>
        <v>0</v>
      </c>
      <c r="S30" s="95">
        <f t="shared" ca="1" si="5"/>
        <v>0</v>
      </c>
      <c r="T30" s="3" t="str">
        <f t="shared" si="6"/>
        <v>Leistungswert eintragen</v>
      </c>
      <c r="U30" s="3">
        <f t="shared" si="7"/>
        <v>0</v>
      </c>
    </row>
    <row r="31" spans="1:21" ht="15" customHeight="1" x14ac:dyDescent="0.2">
      <c r="A31" s="153">
        <v>10</v>
      </c>
      <c r="B31" s="165"/>
      <c r="C31" s="166" t="s">
        <v>306</v>
      </c>
      <c r="D31" s="166" t="s">
        <v>335</v>
      </c>
      <c r="E31" s="166" t="s">
        <v>336</v>
      </c>
      <c r="F31" s="166" t="s">
        <v>287</v>
      </c>
      <c r="G31" s="167">
        <v>18.989999999999998</v>
      </c>
      <c r="H31" s="167"/>
      <c r="I31" s="167"/>
      <c r="J31" s="153" t="s">
        <v>313</v>
      </c>
      <c r="K31" s="167">
        <v>5</v>
      </c>
      <c r="L31" s="95">
        <f>VLOOKUP(K31,Reinigungstage!A10:R31,18,FALSE)</f>
        <v>55</v>
      </c>
      <c r="M31" s="95">
        <f t="shared" si="0"/>
        <v>1044.45</v>
      </c>
      <c r="N31" s="168">
        <f t="shared" si="1"/>
        <v>0</v>
      </c>
      <c r="O31" s="95">
        <f ca="1">IF('SVS UnterhaltsRG'!H61="",0,'SVS UnterhaltsRG'!H61)</f>
        <v>0</v>
      </c>
      <c r="P31" s="95">
        <f t="shared" si="2"/>
        <v>0</v>
      </c>
      <c r="Q31" s="95">
        <f t="shared" ca="1" si="3"/>
        <v>0</v>
      </c>
      <c r="R31" s="95">
        <f t="shared" si="4"/>
        <v>0</v>
      </c>
      <c r="S31" s="95">
        <f t="shared" ca="1" si="5"/>
        <v>0</v>
      </c>
      <c r="T31" s="3" t="str">
        <f t="shared" si="6"/>
        <v>Leistungswert eintragen</v>
      </c>
      <c r="U31" s="3">
        <f t="shared" si="7"/>
        <v>0</v>
      </c>
    </row>
    <row r="32" spans="1:21" ht="15" customHeight="1" x14ac:dyDescent="0.2">
      <c r="A32" s="153">
        <v>11</v>
      </c>
      <c r="B32" s="165" t="s">
        <v>22</v>
      </c>
      <c r="C32" s="166" t="s">
        <v>306</v>
      </c>
      <c r="D32" s="166" t="s">
        <v>335</v>
      </c>
      <c r="E32" s="166" t="s">
        <v>337</v>
      </c>
      <c r="F32" s="166" t="s">
        <v>287</v>
      </c>
      <c r="G32" s="167">
        <v>49.32</v>
      </c>
      <c r="H32" s="167"/>
      <c r="I32" s="167"/>
      <c r="J32" s="153" t="s">
        <v>401</v>
      </c>
      <c r="K32" s="167">
        <v>2.5</v>
      </c>
      <c r="L32" s="95">
        <f>VLOOKUP(K32,Reinigungstage!A10:R31,18,FALSE)</f>
        <v>27.5</v>
      </c>
      <c r="M32" s="95">
        <f t="shared" si="0"/>
        <v>1356.3</v>
      </c>
      <c r="N32" s="168">
        <f t="shared" si="1"/>
        <v>0</v>
      </c>
      <c r="O32" s="95">
        <f ca="1">IF('SVS UnterhaltsRG'!H61="",0,'SVS UnterhaltsRG'!H61)</f>
        <v>0</v>
      </c>
      <c r="P32" s="95">
        <f t="shared" si="2"/>
        <v>0</v>
      </c>
      <c r="Q32" s="95">
        <f t="shared" ca="1" si="3"/>
        <v>0</v>
      </c>
      <c r="R32" s="95">
        <f t="shared" si="4"/>
        <v>0</v>
      </c>
      <c r="S32" s="95">
        <f t="shared" ca="1" si="5"/>
        <v>0</v>
      </c>
      <c r="T32" s="3" t="str">
        <f t="shared" si="6"/>
        <v>Leistungswert eintragen</v>
      </c>
      <c r="U32" s="3">
        <f t="shared" si="7"/>
        <v>0</v>
      </c>
    </row>
    <row r="33" spans="1:21" ht="15" customHeight="1" x14ac:dyDescent="0.2">
      <c r="A33" s="153">
        <v>12</v>
      </c>
      <c r="B33" s="165" t="s">
        <v>20</v>
      </c>
      <c r="C33" s="166" t="s">
        <v>306</v>
      </c>
      <c r="D33" s="166" t="s">
        <v>335</v>
      </c>
      <c r="E33" s="166" t="s">
        <v>338</v>
      </c>
      <c r="F33" s="166" t="s">
        <v>330</v>
      </c>
      <c r="G33" s="167">
        <v>49.02</v>
      </c>
      <c r="H33" s="167"/>
      <c r="I33" s="167"/>
      <c r="J33" s="153" t="s">
        <v>315</v>
      </c>
      <c r="K33" s="167">
        <v>1</v>
      </c>
      <c r="L33" s="95">
        <f>VLOOKUP(K33,Reinigungstage!A10:R31,18,FALSE)</f>
        <v>11.43</v>
      </c>
      <c r="M33" s="95">
        <f t="shared" si="0"/>
        <v>560.29999999999995</v>
      </c>
      <c r="N33" s="168">
        <f t="shared" si="1"/>
        <v>0</v>
      </c>
      <c r="O33" s="95">
        <f ca="1">IF('SVS UnterhaltsRG'!H61="",0,'SVS UnterhaltsRG'!H61)</f>
        <v>0</v>
      </c>
      <c r="P33" s="95">
        <f t="shared" si="2"/>
        <v>0</v>
      </c>
      <c r="Q33" s="95">
        <f t="shared" ca="1" si="3"/>
        <v>0</v>
      </c>
      <c r="R33" s="95">
        <f t="shared" si="4"/>
        <v>0</v>
      </c>
      <c r="S33" s="95">
        <f t="shared" ca="1" si="5"/>
        <v>0</v>
      </c>
      <c r="T33" s="3" t="str">
        <f t="shared" si="6"/>
        <v>Leistungswert eintragen</v>
      </c>
      <c r="U33" s="3">
        <f t="shared" si="7"/>
        <v>0</v>
      </c>
    </row>
    <row r="34" spans="1:21" ht="15" customHeight="1" x14ac:dyDescent="0.2">
      <c r="A34" s="153">
        <v>13</v>
      </c>
      <c r="B34" s="165" t="s">
        <v>24</v>
      </c>
      <c r="C34" s="166" t="s">
        <v>306</v>
      </c>
      <c r="D34" s="166" t="s">
        <v>335</v>
      </c>
      <c r="E34" s="166" t="s">
        <v>340</v>
      </c>
      <c r="F34" s="166" t="s">
        <v>287</v>
      </c>
      <c r="G34" s="167">
        <v>32.26</v>
      </c>
      <c r="H34" s="167"/>
      <c r="I34" s="167"/>
      <c r="J34" s="153" t="s">
        <v>402</v>
      </c>
      <c r="K34" s="167">
        <v>1</v>
      </c>
      <c r="L34" s="95">
        <f>VLOOKUP(K34,Reinigungstage!A10:R31,18,FALSE)</f>
        <v>11.43</v>
      </c>
      <c r="M34" s="95">
        <f t="shared" si="0"/>
        <v>368.73</v>
      </c>
      <c r="N34" s="168">
        <f t="shared" si="1"/>
        <v>0</v>
      </c>
      <c r="O34" s="95">
        <f ca="1">IF('SVS UnterhaltsRG'!H61="",0,'SVS UnterhaltsRG'!H61)</f>
        <v>0</v>
      </c>
      <c r="P34" s="95">
        <f t="shared" si="2"/>
        <v>0</v>
      </c>
      <c r="Q34" s="95">
        <f t="shared" ca="1" si="3"/>
        <v>0</v>
      </c>
      <c r="R34" s="95">
        <f t="shared" si="4"/>
        <v>0</v>
      </c>
      <c r="S34" s="95">
        <f t="shared" ca="1" si="5"/>
        <v>0</v>
      </c>
      <c r="T34" s="3" t="str">
        <f t="shared" si="6"/>
        <v>Leistungswert eintragen</v>
      </c>
      <c r="U34" s="3">
        <f t="shared" si="7"/>
        <v>0</v>
      </c>
    </row>
    <row r="35" spans="1:21" ht="15" customHeight="1" x14ac:dyDescent="0.2">
      <c r="A35" s="153">
        <v>14</v>
      </c>
      <c r="B35" s="165" t="s">
        <v>341</v>
      </c>
      <c r="C35" s="166" t="s">
        <v>306</v>
      </c>
      <c r="D35" s="166" t="s">
        <v>335</v>
      </c>
      <c r="E35" s="166" t="s">
        <v>321</v>
      </c>
      <c r="F35" s="166" t="s">
        <v>287</v>
      </c>
      <c r="G35" s="167">
        <v>15.57</v>
      </c>
      <c r="H35" s="167"/>
      <c r="I35" s="167"/>
      <c r="J35" s="153" t="s">
        <v>401</v>
      </c>
      <c r="K35" s="167">
        <v>5</v>
      </c>
      <c r="L35" s="95">
        <f>VLOOKUP(K35,Reinigungstage!A10:R31,18,FALSE)</f>
        <v>55</v>
      </c>
      <c r="M35" s="95">
        <f t="shared" si="0"/>
        <v>856.35</v>
      </c>
      <c r="N35" s="168">
        <f t="shared" si="1"/>
        <v>0</v>
      </c>
      <c r="O35" s="95">
        <f ca="1">IF('SVS UnterhaltsRG'!H61="",0,'SVS UnterhaltsRG'!H61)</f>
        <v>0</v>
      </c>
      <c r="P35" s="95">
        <f t="shared" si="2"/>
        <v>0</v>
      </c>
      <c r="Q35" s="95">
        <f t="shared" ca="1" si="3"/>
        <v>0</v>
      </c>
      <c r="R35" s="95">
        <f t="shared" si="4"/>
        <v>0</v>
      </c>
      <c r="S35" s="95">
        <f t="shared" ca="1" si="5"/>
        <v>0</v>
      </c>
      <c r="T35" s="3" t="str">
        <f t="shared" si="6"/>
        <v>Leistungswert eintragen</v>
      </c>
      <c r="U35" s="3">
        <f t="shared" si="7"/>
        <v>0</v>
      </c>
    </row>
    <row r="36" spans="1:21" ht="15" customHeight="1" x14ac:dyDescent="0.2">
      <c r="A36" s="153">
        <v>15</v>
      </c>
      <c r="B36" s="165" t="s">
        <v>342</v>
      </c>
      <c r="C36" s="166" t="s">
        <v>306</v>
      </c>
      <c r="D36" s="166" t="s">
        <v>335</v>
      </c>
      <c r="E36" s="166" t="s">
        <v>343</v>
      </c>
      <c r="F36" s="166" t="s">
        <v>287</v>
      </c>
      <c r="G36" s="167">
        <v>34.36</v>
      </c>
      <c r="H36" s="167"/>
      <c r="I36" s="167"/>
      <c r="J36" s="153" t="s">
        <v>401</v>
      </c>
      <c r="K36" s="167">
        <v>5</v>
      </c>
      <c r="L36" s="95">
        <f>VLOOKUP(K36,Reinigungstage!A10:R31,18,FALSE)</f>
        <v>55</v>
      </c>
      <c r="M36" s="95">
        <f t="shared" si="0"/>
        <v>1889.8</v>
      </c>
      <c r="N36" s="168">
        <f t="shared" si="1"/>
        <v>0</v>
      </c>
      <c r="O36" s="95">
        <f ca="1">IF('SVS UnterhaltsRG'!H61="",0,'SVS UnterhaltsRG'!H61)</f>
        <v>0</v>
      </c>
      <c r="P36" s="95">
        <f t="shared" si="2"/>
        <v>0</v>
      </c>
      <c r="Q36" s="95">
        <f t="shared" ca="1" si="3"/>
        <v>0</v>
      </c>
      <c r="R36" s="95">
        <f t="shared" si="4"/>
        <v>0</v>
      </c>
      <c r="S36" s="95">
        <f t="shared" ca="1" si="5"/>
        <v>0</v>
      </c>
      <c r="T36" s="3" t="str">
        <f t="shared" si="6"/>
        <v>Leistungswert eintragen</v>
      </c>
      <c r="U36" s="3">
        <f t="shared" si="7"/>
        <v>0</v>
      </c>
    </row>
    <row r="37" spans="1:21" ht="15" customHeight="1" x14ac:dyDescent="0.2">
      <c r="A37" s="153">
        <v>16</v>
      </c>
      <c r="B37" s="165"/>
      <c r="C37" s="166" t="s">
        <v>276</v>
      </c>
      <c r="D37" s="166" t="s">
        <v>317</v>
      </c>
      <c r="E37" s="166" t="s">
        <v>351</v>
      </c>
      <c r="F37" s="166" t="s">
        <v>293</v>
      </c>
      <c r="G37" s="167">
        <v>35.020000000000003</v>
      </c>
      <c r="H37" s="167"/>
      <c r="I37" s="167"/>
      <c r="J37" s="153" t="s">
        <v>313</v>
      </c>
      <c r="K37" s="167">
        <v>5</v>
      </c>
      <c r="L37" s="95">
        <f>VLOOKUP(K37,Reinigungstage!A10:R31,18,FALSE)</f>
        <v>55</v>
      </c>
      <c r="M37" s="95">
        <f t="shared" ref="M37:M49" si="8">ROUND(IF(L37=0,0,L37*G37),2)</f>
        <v>1926.1</v>
      </c>
      <c r="N37" s="168">
        <f t="shared" si="1"/>
        <v>0</v>
      </c>
      <c r="O37" s="95">
        <f ca="1">IF('SVS UnterhaltsRG'!H61="",0,'SVS UnterhaltsRG'!H61)</f>
        <v>0</v>
      </c>
      <c r="P37" s="95">
        <f t="shared" ref="P37:P49" si="9">ROUND(IF(N37=0,0,M37/N37),2)</f>
        <v>0</v>
      </c>
      <c r="Q37" s="95">
        <f t="shared" ref="Q37:Q49" ca="1" si="10">IF(M37=0,0,IF(O37="",0,ROUND(P37*O37,2)))</f>
        <v>0</v>
      </c>
      <c r="R37" s="95">
        <f t="shared" ref="R37:R49" si="11">ROUND(IF(P37=0,0,P37/L37),2)</f>
        <v>0</v>
      </c>
      <c r="S37" s="95">
        <f t="shared" ref="S37:S49" ca="1" si="12">ROUND(IF(Q37=0,0,Q37/L37),2)</f>
        <v>0</v>
      </c>
      <c r="T37" s="3" t="str">
        <f t="shared" ref="T37:T49" si="13">IF(M37=0,"",IF(N37=0,"Leistungswert eintragen",IF(O37=0,"SVS prüfen","")))</f>
        <v>Leistungswert eintragen</v>
      </c>
      <c r="U37" s="3">
        <f t="shared" ref="U37:U49" si="14">VLOOKUP(J37,$U$4:$V$13,2,FALSE)</f>
        <v>0</v>
      </c>
    </row>
    <row r="38" spans="1:21" ht="15" customHeight="1" x14ac:dyDescent="0.2">
      <c r="A38" s="153">
        <v>17</v>
      </c>
      <c r="B38" s="165"/>
      <c r="C38" s="166" t="s">
        <v>276</v>
      </c>
      <c r="D38" s="166" t="s">
        <v>325</v>
      </c>
      <c r="E38" s="166" t="s">
        <v>288</v>
      </c>
      <c r="F38" s="166" t="s">
        <v>293</v>
      </c>
      <c r="G38" s="167">
        <v>24.8</v>
      </c>
      <c r="H38" s="167"/>
      <c r="I38" s="167"/>
      <c r="J38" s="153" t="s">
        <v>313</v>
      </c>
      <c r="K38" s="167">
        <v>5</v>
      </c>
      <c r="L38" s="95">
        <f>VLOOKUP(K38,Reinigungstage!A10:R31,18,FALSE)</f>
        <v>55</v>
      </c>
      <c r="M38" s="95">
        <f t="shared" si="8"/>
        <v>1364</v>
      </c>
      <c r="N38" s="168">
        <f t="shared" si="1"/>
        <v>0</v>
      </c>
      <c r="O38" s="95">
        <f ca="1">IF('SVS UnterhaltsRG'!H61="",0,'SVS UnterhaltsRG'!H61)</f>
        <v>0</v>
      </c>
      <c r="P38" s="95">
        <f t="shared" si="9"/>
        <v>0</v>
      </c>
      <c r="Q38" s="95">
        <f t="shared" ca="1" si="10"/>
        <v>0</v>
      </c>
      <c r="R38" s="95">
        <f t="shared" si="11"/>
        <v>0</v>
      </c>
      <c r="S38" s="95">
        <f t="shared" ca="1" si="12"/>
        <v>0</v>
      </c>
      <c r="T38" s="3" t="str">
        <f t="shared" si="13"/>
        <v>Leistungswert eintragen</v>
      </c>
      <c r="U38" s="3">
        <f t="shared" si="14"/>
        <v>0</v>
      </c>
    </row>
    <row r="39" spans="1:21" ht="15" customHeight="1" x14ac:dyDescent="0.2">
      <c r="A39" s="153">
        <v>18</v>
      </c>
      <c r="B39" s="165" t="s">
        <v>352</v>
      </c>
      <c r="C39" s="166" t="s">
        <v>276</v>
      </c>
      <c r="D39" s="166" t="s">
        <v>325</v>
      </c>
      <c r="E39" s="166" t="s">
        <v>291</v>
      </c>
      <c r="F39" s="166" t="s">
        <v>287</v>
      </c>
      <c r="G39" s="167">
        <v>16.190000000000001</v>
      </c>
      <c r="H39" s="167"/>
      <c r="I39" s="167"/>
      <c r="J39" s="153" t="s">
        <v>291</v>
      </c>
      <c r="K39" s="167">
        <v>5</v>
      </c>
      <c r="L39" s="95">
        <f>VLOOKUP(K39,Reinigungstage!A10:R31,18,FALSE)</f>
        <v>55</v>
      </c>
      <c r="M39" s="95">
        <f t="shared" si="8"/>
        <v>890.45</v>
      </c>
      <c r="N39" s="168">
        <f t="shared" si="1"/>
        <v>0</v>
      </c>
      <c r="O39" s="95">
        <f ca="1">IF('SVS UnterhaltsRG'!H61="",0,'SVS UnterhaltsRG'!H61)</f>
        <v>0</v>
      </c>
      <c r="P39" s="95">
        <f t="shared" si="9"/>
        <v>0</v>
      </c>
      <c r="Q39" s="95">
        <f t="shared" ca="1" si="10"/>
        <v>0</v>
      </c>
      <c r="R39" s="95">
        <f t="shared" si="11"/>
        <v>0</v>
      </c>
      <c r="S39" s="95">
        <f t="shared" ca="1" si="12"/>
        <v>0</v>
      </c>
      <c r="T39" s="3" t="str">
        <f t="shared" si="13"/>
        <v>Leistungswert eintragen</v>
      </c>
      <c r="U39" s="3">
        <f t="shared" si="14"/>
        <v>0</v>
      </c>
    </row>
    <row r="40" spans="1:21" ht="15" customHeight="1" x14ac:dyDescent="0.2">
      <c r="A40" s="153">
        <v>19</v>
      </c>
      <c r="B40" s="165" t="s">
        <v>358</v>
      </c>
      <c r="C40" s="166" t="s">
        <v>276</v>
      </c>
      <c r="D40" s="166" t="s">
        <v>325</v>
      </c>
      <c r="E40" s="166" t="s">
        <v>337</v>
      </c>
      <c r="F40" s="166" t="s">
        <v>287</v>
      </c>
      <c r="G40" s="167">
        <v>47.5</v>
      </c>
      <c r="H40" s="167">
        <v>7.77</v>
      </c>
      <c r="I40" s="167"/>
      <c r="J40" s="153" t="s">
        <v>401</v>
      </c>
      <c r="K40" s="167">
        <v>5</v>
      </c>
      <c r="L40" s="95">
        <f>VLOOKUP(K40,Reinigungstage!A10:R31,18,FALSE)</f>
        <v>55</v>
      </c>
      <c r="M40" s="95">
        <f t="shared" si="8"/>
        <v>2612.5</v>
      </c>
      <c r="N40" s="168">
        <f t="shared" si="1"/>
        <v>0</v>
      </c>
      <c r="O40" s="95">
        <f ca="1">IF('SVS UnterhaltsRG'!H61="",0,'SVS UnterhaltsRG'!H61)</f>
        <v>0</v>
      </c>
      <c r="P40" s="95">
        <f t="shared" si="9"/>
        <v>0</v>
      </c>
      <c r="Q40" s="95">
        <f t="shared" ca="1" si="10"/>
        <v>0</v>
      </c>
      <c r="R40" s="95">
        <f t="shared" si="11"/>
        <v>0</v>
      </c>
      <c r="S40" s="95">
        <f t="shared" ca="1" si="12"/>
        <v>0</v>
      </c>
      <c r="T40" s="3" t="str">
        <f t="shared" si="13"/>
        <v>Leistungswert eintragen</v>
      </c>
      <c r="U40" s="3">
        <f t="shared" si="14"/>
        <v>0</v>
      </c>
    </row>
    <row r="41" spans="1:21" ht="15" customHeight="1" x14ac:dyDescent="0.2">
      <c r="A41" s="153">
        <v>20</v>
      </c>
      <c r="B41" s="165"/>
      <c r="C41" s="166" t="s">
        <v>276</v>
      </c>
      <c r="D41" s="166" t="s">
        <v>325</v>
      </c>
      <c r="E41" s="166" t="s">
        <v>359</v>
      </c>
      <c r="F41" s="166" t="s">
        <v>293</v>
      </c>
      <c r="G41" s="167">
        <v>50.87</v>
      </c>
      <c r="H41" s="167"/>
      <c r="I41" s="167"/>
      <c r="J41" s="153" t="s">
        <v>313</v>
      </c>
      <c r="K41" s="167">
        <v>5</v>
      </c>
      <c r="L41" s="95">
        <f>VLOOKUP(K41,Reinigungstage!A10:R31,18,FALSE)</f>
        <v>55</v>
      </c>
      <c r="M41" s="95">
        <f t="shared" si="8"/>
        <v>2797.85</v>
      </c>
      <c r="N41" s="168">
        <f t="shared" si="1"/>
        <v>0</v>
      </c>
      <c r="O41" s="95">
        <f ca="1">IF('SVS UnterhaltsRG'!H61="",0,'SVS UnterhaltsRG'!H61)</f>
        <v>0</v>
      </c>
      <c r="P41" s="95">
        <f t="shared" si="9"/>
        <v>0</v>
      </c>
      <c r="Q41" s="95">
        <f t="shared" ca="1" si="10"/>
        <v>0</v>
      </c>
      <c r="R41" s="95">
        <f t="shared" si="11"/>
        <v>0</v>
      </c>
      <c r="S41" s="95">
        <f t="shared" ca="1" si="12"/>
        <v>0</v>
      </c>
      <c r="T41" s="3" t="str">
        <f t="shared" si="13"/>
        <v>Leistungswert eintragen</v>
      </c>
      <c r="U41" s="3">
        <f t="shared" si="14"/>
        <v>0</v>
      </c>
    </row>
    <row r="42" spans="1:21" ht="15" customHeight="1" x14ac:dyDescent="0.2">
      <c r="A42" s="153">
        <v>21</v>
      </c>
      <c r="B42" s="165"/>
      <c r="C42" s="166" t="s">
        <v>276</v>
      </c>
      <c r="D42" s="166" t="s">
        <v>335</v>
      </c>
      <c r="E42" s="166" t="s">
        <v>310</v>
      </c>
      <c r="F42" s="166" t="s">
        <v>293</v>
      </c>
      <c r="G42" s="167">
        <v>5.51</v>
      </c>
      <c r="H42" s="167"/>
      <c r="I42" s="167"/>
      <c r="J42" s="153" t="s">
        <v>310</v>
      </c>
      <c r="K42" s="167">
        <v>5</v>
      </c>
      <c r="L42" s="95">
        <f>VLOOKUP(K42,Reinigungstage!A10:R31,18,FALSE)</f>
        <v>55</v>
      </c>
      <c r="M42" s="95">
        <f t="shared" si="8"/>
        <v>303.05</v>
      </c>
      <c r="N42" s="168">
        <f t="shared" si="1"/>
        <v>0</v>
      </c>
      <c r="O42" s="95">
        <f ca="1">IF('SVS UnterhaltsRG'!H61="",0,'SVS UnterhaltsRG'!H61)</f>
        <v>0</v>
      </c>
      <c r="P42" s="95">
        <f t="shared" si="9"/>
        <v>0</v>
      </c>
      <c r="Q42" s="95">
        <f t="shared" ca="1" si="10"/>
        <v>0</v>
      </c>
      <c r="R42" s="95">
        <f t="shared" si="11"/>
        <v>0</v>
      </c>
      <c r="S42" s="95">
        <f t="shared" ca="1" si="12"/>
        <v>0</v>
      </c>
      <c r="T42" s="3" t="str">
        <f t="shared" si="13"/>
        <v>Leistungswert eintragen</v>
      </c>
      <c r="U42" s="3">
        <f t="shared" si="14"/>
        <v>0</v>
      </c>
    </row>
    <row r="43" spans="1:21" ht="15" customHeight="1" x14ac:dyDescent="0.2">
      <c r="A43" s="153">
        <v>22</v>
      </c>
      <c r="B43" s="165" t="s">
        <v>360</v>
      </c>
      <c r="C43" s="166" t="s">
        <v>276</v>
      </c>
      <c r="D43" s="166" t="s">
        <v>335</v>
      </c>
      <c r="E43" s="166" t="s">
        <v>283</v>
      </c>
      <c r="F43" s="166" t="s">
        <v>293</v>
      </c>
      <c r="G43" s="167">
        <v>55.92</v>
      </c>
      <c r="H43" s="167"/>
      <c r="I43" s="167">
        <v>2</v>
      </c>
      <c r="J43" s="153" t="s">
        <v>313</v>
      </c>
      <c r="K43" s="167">
        <v>5</v>
      </c>
      <c r="L43" s="95">
        <f>VLOOKUP(K43,Reinigungstage!A10:R31,18,FALSE)</f>
        <v>55</v>
      </c>
      <c r="M43" s="95">
        <f t="shared" si="8"/>
        <v>3075.6</v>
      </c>
      <c r="N43" s="168">
        <f t="shared" si="1"/>
        <v>0</v>
      </c>
      <c r="O43" s="95">
        <f ca="1">IF('SVS UnterhaltsRG'!H61="",0,'SVS UnterhaltsRG'!H61)</f>
        <v>0</v>
      </c>
      <c r="P43" s="95">
        <f t="shared" si="9"/>
        <v>0</v>
      </c>
      <c r="Q43" s="95">
        <f t="shared" ca="1" si="10"/>
        <v>0</v>
      </c>
      <c r="R43" s="95">
        <f t="shared" si="11"/>
        <v>0</v>
      </c>
      <c r="S43" s="95">
        <f t="shared" ca="1" si="12"/>
        <v>0</v>
      </c>
      <c r="T43" s="3" t="str">
        <f t="shared" si="13"/>
        <v>Leistungswert eintragen</v>
      </c>
      <c r="U43" s="3">
        <f t="shared" si="14"/>
        <v>0</v>
      </c>
    </row>
    <row r="44" spans="1:21" ht="15" customHeight="1" x14ac:dyDescent="0.2">
      <c r="A44" s="153">
        <v>23</v>
      </c>
      <c r="B44" s="165"/>
      <c r="C44" s="166" t="s">
        <v>276</v>
      </c>
      <c r="D44" s="166" t="s">
        <v>335</v>
      </c>
      <c r="E44" s="166" t="s">
        <v>361</v>
      </c>
      <c r="F44" s="166" t="s">
        <v>362</v>
      </c>
      <c r="G44" s="167">
        <v>1.8</v>
      </c>
      <c r="H44" s="167"/>
      <c r="I44" s="167"/>
      <c r="J44" s="153" t="s">
        <v>310</v>
      </c>
      <c r="K44" s="167">
        <v>5</v>
      </c>
      <c r="L44" s="95">
        <f>VLOOKUP(K44,Reinigungstage!A10:R31,18,FALSE)</f>
        <v>55</v>
      </c>
      <c r="M44" s="95">
        <f t="shared" si="8"/>
        <v>99</v>
      </c>
      <c r="N44" s="168">
        <f t="shared" si="1"/>
        <v>0</v>
      </c>
      <c r="O44" s="95">
        <f ca="1">IF('SVS UnterhaltsRG'!H61="",0,'SVS UnterhaltsRG'!H61)</f>
        <v>0</v>
      </c>
      <c r="P44" s="95">
        <f t="shared" si="9"/>
        <v>0</v>
      </c>
      <c r="Q44" s="95">
        <f t="shared" ca="1" si="10"/>
        <v>0</v>
      </c>
      <c r="R44" s="95">
        <f t="shared" si="11"/>
        <v>0</v>
      </c>
      <c r="S44" s="95">
        <f t="shared" ca="1" si="12"/>
        <v>0</v>
      </c>
      <c r="T44" s="3" t="str">
        <f t="shared" si="13"/>
        <v>Leistungswert eintragen</v>
      </c>
      <c r="U44" s="3">
        <f t="shared" si="14"/>
        <v>0</v>
      </c>
    </row>
    <row r="45" spans="1:21" ht="15" customHeight="1" x14ac:dyDescent="0.2">
      <c r="A45" s="153">
        <v>24</v>
      </c>
      <c r="B45" s="165"/>
      <c r="C45" s="166" t="s">
        <v>276</v>
      </c>
      <c r="D45" s="166" t="s">
        <v>335</v>
      </c>
      <c r="E45" s="166" t="s">
        <v>296</v>
      </c>
      <c r="F45" s="166" t="s">
        <v>293</v>
      </c>
      <c r="G45" s="167">
        <v>6.7</v>
      </c>
      <c r="H45" s="167"/>
      <c r="I45" s="167"/>
      <c r="J45" s="153" t="s">
        <v>314</v>
      </c>
      <c r="K45" s="167">
        <v>5</v>
      </c>
      <c r="L45" s="95">
        <f>VLOOKUP(K45,Reinigungstage!A10:R31,18,FALSE)</f>
        <v>55</v>
      </c>
      <c r="M45" s="95">
        <f t="shared" si="8"/>
        <v>368.5</v>
      </c>
      <c r="N45" s="168">
        <f t="shared" si="1"/>
        <v>0</v>
      </c>
      <c r="O45" s="95">
        <f ca="1">IF('SVS UnterhaltsRG'!H61="",0,'SVS UnterhaltsRG'!H61)</f>
        <v>0</v>
      </c>
      <c r="P45" s="95">
        <f t="shared" si="9"/>
        <v>0</v>
      </c>
      <c r="Q45" s="95">
        <f t="shared" ca="1" si="10"/>
        <v>0</v>
      </c>
      <c r="R45" s="95">
        <f t="shared" si="11"/>
        <v>0</v>
      </c>
      <c r="S45" s="95">
        <f t="shared" ca="1" si="12"/>
        <v>0</v>
      </c>
      <c r="T45" s="3" t="str">
        <f t="shared" si="13"/>
        <v>Leistungswert eintragen</v>
      </c>
      <c r="U45" s="3">
        <f t="shared" si="14"/>
        <v>0</v>
      </c>
    </row>
    <row r="46" spans="1:21" ht="15" customHeight="1" x14ac:dyDescent="0.2">
      <c r="A46" s="153">
        <v>25</v>
      </c>
      <c r="B46" s="165" t="s">
        <v>363</v>
      </c>
      <c r="C46" s="166" t="s">
        <v>276</v>
      </c>
      <c r="D46" s="166" t="s">
        <v>335</v>
      </c>
      <c r="E46" s="166" t="s">
        <v>364</v>
      </c>
      <c r="F46" s="166" t="s">
        <v>287</v>
      </c>
      <c r="G46" s="167">
        <v>96.74</v>
      </c>
      <c r="H46" s="167"/>
      <c r="I46" s="167"/>
      <c r="J46" s="153" t="s">
        <v>404</v>
      </c>
      <c r="K46" s="167">
        <v>5</v>
      </c>
      <c r="L46" s="95">
        <f>VLOOKUP(K46,Reinigungstage!A10:R31,18,FALSE)</f>
        <v>55</v>
      </c>
      <c r="M46" s="95">
        <f t="shared" si="8"/>
        <v>5320.7</v>
      </c>
      <c r="N46" s="168">
        <f t="shared" si="1"/>
        <v>0</v>
      </c>
      <c r="O46" s="95">
        <f ca="1">IF('SVS UnterhaltsRG'!H61="",0,'SVS UnterhaltsRG'!H61)</f>
        <v>0</v>
      </c>
      <c r="P46" s="95">
        <f t="shared" si="9"/>
        <v>0</v>
      </c>
      <c r="Q46" s="95">
        <f t="shared" ca="1" si="10"/>
        <v>0</v>
      </c>
      <c r="R46" s="95">
        <f t="shared" si="11"/>
        <v>0</v>
      </c>
      <c r="S46" s="95">
        <f t="shared" ca="1" si="12"/>
        <v>0</v>
      </c>
      <c r="T46" s="3" t="str">
        <f t="shared" si="13"/>
        <v>Leistungswert eintragen</v>
      </c>
      <c r="U46" s="3">
        <f t="shared" si="14"/>
        <v>0</v>
      </c>
    </row>
    <row r="47" spans="1:21" ht="15" customHeight="1" x14ac:dyDescent="0.2">
      <c r="A47" s="153">
        <v>26</v>
      </c>
      <c r="B47" s="165" t="s">
        <v>372</v>
      </c>
      <c r="C47" s="166" t="s">
        <v>276</v>
      </c>
      <c r="D47" s="166" t="s">
        <v>335</v>
      </c>
      <c r="E47" s="166" t="s">
        <v>373</v>
      </c>
      <c r="F47" s="166" t="s">
        <v>287</v>
      </c>
      <c r="G47" s="167">
        <v>16.29</v>
      </c>
      <c r="H47" s="167"/>
      <c r="I47" s="167"/>
      <c r="J47" s="153" t="s">
        <v>402</v>
      </c>
      <c r="K47" s="167">
        <v>1</v>
      </c>
      <c r="L47" s="95">
        <f>VLOOKUP(K47,Reinigungstage!A10:R31,18,FALSE)</f>
        <v>11.43</v>
      </c>
      <c r="M47" s="95">
        <f t="shared" si="8"/>
        <v>186.19</v>
      </c>
      <c r="N47" s="168">
        <f t="shared" si="1"/>
        <v>0</v>
      </c>
      <c r="O47" s="95">
        <f ca="1">IF('SVS UnterhaltsRG'!H61="",0,'SVS UnterhaltsRG'!H61)</f>
        <v>0</v>
      </c>
      <c r="P47" s="95">
        <f t="shared" si="9"/>
        <v>0</v>
      </c>
      <c r="Q47" s="95">
        <f t="shared" ca="1" si="10"/>
        <v>0</v>
      </c>
      <c r="R47" s="95">
        <f t="shared" si="11"/>
        <v>0</v>
      </c>
      <c r="S47" s="95">
        <f t="shared" ca="1" si="12"/>
        <v>0</v>
      </c>
      <c r="T47" s="3" t="str">
        <f t="shared" si="13"/>
        <v>Leistungswert eintragen</v>
      </c>
      <c r="U47" s="3">
        <f t="shared" si="14"/>
        <v>0</v>
      </c>
    </row>
    <row r="48" spans="1:21" ht="15" customHeight="1" x14ac:dyDescent="0.2">
      <c r="A48" s="153">
        <v>27</v>
      </c>
      <c r="B48" s="165" t="s">
        <v>374</v>
      </c>
      <c r="C48" s="166" t="s">
        <v>276</v>
      </c>
      <c r="D48" s="166" t="s">
        <v>335</v>
      </c>
      <c r="E48" s="166" t="s">
        <v>375</v>
      </c>
      <c r="F48" s="166" t="s">
        <v>287</v>
      </c>
      <c r="G48" s="167">
        <v>14.99</v>
      </c>
      <c r="H48" s="167"/>
      <c r="I48" s="167"/>
      <c r="J48" s="153" t="s">
        <v>402</v>
      </c>
      <c r="K48" s="167">
        <v>5</v>
      </c>
      <c r="L48" s="95">
        <f>VLOOKUP(K48,Reinigungstage!A10:R31,18,FALSE)</f>
        <v>55</v>
      </c>
      <c r="M48" s="95">
        <f t="shared" si="8"/>
        <v>824.45</v>
      </c>
      <c r="N48" s="168">
        <f t="shared" si="1"/>
        <v>0</v>
      </c>
      <c r="O48" s="95">
        <f ca="1">IF('SVS UnterhaltsRG'!H61="",0,'SVS UnterhaltsRG'!H61)</f>
        <v>0</v>
      </c>
      <c r="P48" s="95">
        <f t="shared" si="9"/>
        <v>0</v>
      </c>
      <c r="Q48" s="95">
        <f t="shared" ca="1" si="10"/>
        <v>0</v>
      </c>
      <c r="R48" s="95">
        <f t="shared" si="11"/>
        <v>0</v>
      </c>
      <c r="S48" s="95">
        <f t="shared" ca="1" si="12"/>
        <v>0</v>
      </c>
      <c r="T48" s="3" t="str">
        <f t="shared" si="13"/>
        <v>Leistungswert eintragen</v>
      </c>
      <c r="U48" s="3">
        <f t="shared" si="14"/>
        <v>0</v>
      </c>
    </row>
    <row r="49" spans="1:21" ht="15" customHeight="1" x14ac:dyDescent="0.2">
      <c r="A49" s="153">
        <v>28</v>
      </c>
      <c r="B49" s="165"/>
      <c r="C49" s="166" t="s">
        <v>276</v>
      </c>
      <c r="D49" s="166" t="s">
        <v>335</v>
      </c>
      <c r="E49" s="166" t="s">
        <v>288</v>
      </c>
      <c r="F49" s="166" t="s">
        <v>287</v>
      </c>
      <c r="G49" s="167">
        <v>28.99</v>
      </c>
      <c r="H49" s="167"/>
      <c r="I49" s="167"/>
      <c r="J49" s="153" t="s">
        <v>313</v>
      </c>
      <c r="K49" s="167">
        <v>5</v>
      </c>
      <c r="L49" s="95">
        <f>VLOOKUP(K49,Reinigungstage!A10:R31,18,FALSE)</f>
        <v>55</v>
      </c>
      <c r="M49" s="95">
        <f t="shared" si="8"/>
        <v>1594.45</v>
      </c>
      <c r="N49" s="168">
        <f t="shared" si="1"/>
        <v>0</v>
      </c>
      <c r="O49" s="95">
        <f ca="1">IF('SVS UnterhaltsRG'!H61="",0,'SVS UnterhaltsRG'!H61)</f>
        <v>0</v>
      </c>
      <c r="P49" s="95">
        <f t="shared" si="9"/>
        <v>0</v>
      </c>
      <c r="Q49" s="95">
        <f t="shared" ca="1" si="10"/>
        <v>0</v>
      </c>
      <c r="R49" s="95">
        <f t="shared" si="11"/>
        <v>0</v>
      </c>
      <c r="S49" s="95">
        <f t="shared" ca="1" si="12"/>
        <v>0</v>
      </c>
      <c r="T49" s="3" t="str">
        <f t="shared" si="13"/>
        <v>Leistungswert eintragen</v>
      </c>
      <c r="U49" s="3">
        <f t="shared" si="14"/>
        <v>0</v>
      </c>
    </row>
    <row r="50" spans="1:21" ht="15" customHeight="1" x14ac:dyDescent="0.2">
      <c r="A50" s="153">
        <v>29</v>
      </c>
      <c r="B50" s="165"/>
      <c r="C50" s="166" t="s">
        <v>276</v>
      </c>
      <c r="D50" s="166" t="s">
        <v>317</v>
      </c>
      <c r="E50" s="166" t="s">
        <v>376</v>
      </c>
      <c r="F50" s="166" t="s">
        <v>287</v>
      </c>
      <c r="G50" s="167">
        <v>4.5</v>
      </c>
      <c r="H50" s="167"/>
      <c r="I50" s="167"/>
      <c r="J50" s="153" t="s">
        <v>313</v>
      </c>
      <c r="K50" s="167">
        <v>5</v>
      </c>
      <c r="L50" s="95">
        <f>VLOOKUP(K50,Reinigungstage!A10:R31,18,FALSE)</f>
        <v>55</v>
      </c>
      <c r="M50" s="95">
        <f t="shared" ref="M50:M60" si="15">ROUND(IF(L50=0,0,L50*G50),2)</f>
        <v>247.5</v>
      </c>
      <c r="N50" s="168">
        <f t="shared" si="1"/>
        <v>0</v>
      </c>
      <c r="O50" s="95">
        <f ca="1">IF('SVS UnterhaltsRG'!H61="",0,'SVS UnterhaltsRG'!H61)</f>
        <v>0</v>
      </c>
      <c r="P50" s="95">
        <f t="shared" ref="P50:P60" si="16">ROUND(IF(N50=0,0,M50/N50),2)</f>
        <v>0</v>
      </c>
      <c r="Q50" s="95">
        <f t="shared" ref="Q50:Q60" ca="1" si="17">IF(M50=0,0,IF(O50="",0,ROUND(P50*O50,2)))</f>
        <v>0</v>
      </c>
      <c r="R50" s="95">
        <f t="shared" ref="R50:R60" si="18">ROUND(IF(P50=0,0,P50/L50),2)</f>
        <v>0</v>
      </c>
      <c r="S50" s="95">
        <f t="shared" ref="S50:S60" ca="1" si="19">ROUND(IF(Q50=0,0,Q50/L50),2)</f>
        <v>0</v>
      </c>
      <c r="T50" s="3" t="str">
        <f t="shared" ref="T50:T60" si="20">IF(M50=0,"",IF(N50=0,"Leistungswert eintragen",IF(O50=0,"SVS prüfen","")))</f>
        <v>Leistungswert eintragen</v>
      </c>
      <c r="U50" s="3">
        <f t="shared" ref="U50:U60" si="21">VLOOKUP(J50,$U$4:$V$13,2,FALSE)</f>
        <v>0</v>
      </c>
    </row>
    <row r="51" spans="1:21" ht="15" customHeight="1" x14ac:dyDescent="0.2">
      <c r="A51" s="153">
        <v>30</v>
      </c>
      <c r="B51" s="165"/>
      <c r="C51" s="166" t="s">
        <v>276</v>
      </c>
      <c r="D51" s="166" t="s">
        <v>317</v>
      </c>
      <c r="E51" s="166" t="s">
        <v>310</v>
      </c>
      <c r="F51" s="166" t="s">
        <v>334</v>
      </c>
      <c r="G51" s="167">
        <v>7.47</v>
      </c>
      <c r="H51" s="167"/>
      <c r="I51" s="167"/>
      <c r="J51" s="153" t="s">
        <v>310</v>
      </c>
      <c r="K51" s="167">
        <v>5</v>
      </c>
      <c r="L51" s="95">
        <f>VLOOKUP(K51,Reinigungstage!A10:R31,18,FALSE)</f>
        <v>55</v>
      </c>
      <c r="M51" s="95">
        <f t="shared" si="15"/>
        <v>410.85</v>
      </c>
      <c r="N51" s="168">
        <f t="shared" si="1"/>
        <v>0</v>
      </c>
      <c r="O51" s="95">
        <f ca="1">IF('SVS UnterhaltsRG'!H61="",0,'SVS UnterhaltsRG'!H61)</f>
        <v>0</v>
      </c>
      <c r="P51" s="95">
        <f t="shared" si="16"/>
        <v>0</v>
      </c>
      <c r="Q51" s="95">
        <f t="shared" ca="1" si="17"/>
        <v>0</v>
      </c>
      <c r="R51" s="95">
        <f t="shared" si="18"/>
        <v>0</v>
      </c>
      <c r="S51" s="95">
        <f t="shared" ca="1" si="19"/>
        <v>0</v>
      </c>
      <c r="T51" s="3" t="str">
        <f t="shared" si="20"/>
        <v>Leistungswert eintragen</v>
      </c>
      <c r="U51" s="3">
        <f t="shared" si="21"/>
        <v>0</v>
      </c>
    </row>
    <row r="52" spans="1:21" ht="15" customHeight="1" x14ac:dyDescent="0.2">
      <c r="A52" s="153">
        <v>31</v>
      </c>
      <c r="B52" s="165"/>
      <c r="C52" s="166" t="s">
        <v>276</v>
      </c>
      <c r="D52" s="166" t="s">
        <v>317</v>
      </c>
      <c r="E52" s="166" t="s">
        <v>309</v>
      </c>
      <c r="F52" s="166" t="s">
        <v>334</v>
      </c>
      <c r="G52" s="167">
        <v>13.43</v>
      </c>
      <c r="H52" s="167"/>
      <c r="I52" s="167"/>
      <c r="J52" s="153" t="s">
        <v>310</v>
      </c>
      <c r="K52" s="167">
        <v>5</v>
      </c>
      <c r="L52" s="95">
        <f>VLOOKUP(K52,Reinigungstage!A10:R31,18,FALSE)</f>
        <v>55</v>
      </c>
      <c r="M52" s="95">
        <f t="shared" si="15"/>
        <v>738.65</v>
      </c>
      <c r="N52" s="168">
        <f t="shared" si="1"/>
        <v>0</v>
      </c>
      <c r="O52" s="95">
        <f ca="1">IF('SVS UnterhaltsRG'!H61="",0,'SVS UnterhaltsRG'!H61)</f>
        <v>0</v>
      </c>
      <c r="P52" s="95">
        <f t="shared" si="16"/>
        <v>0</v>
      </c>
      <c r="Q52" s="95">
        <f t="shared" ca="1" si="17"/>
        <v>0</v>
      </c>
      <c r="R52" s="95">
        <f t="shared" si="18"/>
        <v>0</v>
      </c>
      <c r="S52" s="95">
        <f t="shared" ca="1" si="19"/>
        <v>0</v>
      </c>
      <c r="T52" s="3" t="str">
        <f t="shared" si="20"/>
        <v>Leistungswert eintragen</v>
      </c>
      <c r="U52" s="3">
        <f t="shared" si="21"/>
        <v>0</v>
      </c>
    </row>
    <row r="53" spans="1:21" ht="15" customHeight="1" x14ac:dyDescent="0.2">
      <c r="A53" s="153">
        <v>32</v>
      </c>
      <c r="B53" s="165"/>
      <c r="C53" s="166" t="s">
        <v>276</v>
      </c>
      <c r="D53" s="166" t="s">
        <v>317</v>
      </c>
      <c r="E53" s="166" t="s">
        <v>310</v>
      </c>
      <c r="F53" s="166" t="s">
        <v>334</v>
      </c>
      <c r="G53" s="167">
        <v>8.43</v>
      </c>
      <c r="H53" s="167"/>
      <c r="I53" s="167"/>
      <c r="J53" s="153" t="s">
        <v>310</v>
      </c>
      <c r="K53" s="167">
        <v>5</v>
      </c>
      <c r="L53" s="95">
        <f>VLOOKUP(K53,Reinigungstage!A10:R31,18,FALSE)</f>
        <v>55</v>
      </c>
      <c r="M53" s="95">
        <f t="shared" si="15"/>
        <v>463.65</v>
      </c>
      <c r="N53" s="168">
        <f t="shared" si="1"/>
        <v>0</v>
      </c>
      <c r="O53" s="95">
        <f ca="1">IF('SVS UnterhaltsRG'!H61="",0,'SVS UnterhaltsRG'!H61)</f>
        <v>0</v>
      </c>
      <c r="P53" s="95">
        <f t="shared" si="16"/>
        <v>0</v>
      </c>
      <c r="Q53" s="95">
        <f t="shared" ca="1" si="17"/>
        <v>0</v>
      </c>
      <c r="R53" s="95">
        <f t="shared" si="18"/>
        <v>0</v>
      </c>
      <c r="S53" s="95">
        <f t="shared" ca="1" si="19"/>
        <v>0</v>
      </c>
      <c r="T53" s="3" t="str">
        <f t="shared" si="20"/>
        <v>Leistungswert eintragen</v>
      </c>
      <c r="U53" s="3">
        <f t="shared" si="21"/>
        <v>0</v>
      </c>
    </row>
    <row r="54" spans="1:21" ht="15" customHeight="1" x14ac:dyDescent="0.2">
      <c r="A54" s="153">
        <v>33</v>
      </c>
      <c r="B54" s="165"/>
      <c r="C54" s="166" t="s">
        <v>377</v>
      </c>
      <c r="D54" s="166" t="s">
        <v>317</v>
      </c>
      <c r="E54" s="166" t="s">
        <v>378</v>
      </c>
      <c r="F54" s="166" t="s">
        <v>379</v>
      </c>
      <c r="G54" s="167">
        <v>36.6</v>
      </c>
      <c r="H54" s="167"/>
      <c r="I54" s="167"/>
      <c r="J54" s="153" t="s">
        <v>313</v>
      </c>
      <c r="K54" s="167">
        <v>5</v>
      </c>
      <c r="L54" s="95">
        <f>VLOOKUP(K54,Reinigungstage!A10:R31,18,FALSE)</f>
        <v>55</v>
      </c>
      <c r="M54" s="95">
        <f t="shared" si="15"/>
        <v>2013</v>
      </c>
      <c r="N54" s="168">
        <f t="shared" si="1"/>
        <v>0</v>
      </c>
      <c r="O54" s="95">
        <f ca="1">IF('SVS UnterhaltsRG'!H61="",0,'SVS UnterhaltsRG'!H61)</f>
        <v>0</v>
      </c>
      <c r="P54" s="95">
        <f t="shared" si="16"/>
        <v>0</v>
      </c>
      <c r="Q54" s="95">
        <f t="shared" ca="1" si="17"/>
        <v>0</v>
      </c>
      <c r="R54" s="95">
        <f t="shared" si="18"/>
        <v>0</v>
      </c>
      <c r="S54" s="95">
        <f t="shared" ca="1" si="19"/>
        <v>0</v>
      </c>
      <c r="T54" s="3" t="str">
        <f t="shared" si="20"/>
        <v>Leistungswert eintragen</v>
      </c>
      <c r="U54" s="3">
        <f t="shared" si="21"/>
        <v>0</v>
      </c>
    </row>
    <row r="55" spans="1:21" ht="15" customHeight="1" x14ac:dyDescent="0.2">
      <c r="A55" s="153">
        <v>34</v>
      </c>
      <c r="B55" s="165"/>
      <c r="C55" s="166" t="s">
        <v>377</v>
      </c>
      <c r="D55" s="166" t="s">
        <v>317</v>
      </c>
      <c r="E55" s="166" t="s">
        <v>380</v>
      </c>
      <c r="F55" s="166" t="s">
        <v>379</v>
      </c>
      <c r="G55" s="167">
        <v>26.34</v>
      </c>
      <c r="H55" s="167"/>
      <c r="I55" s="167"/>
      <c r="J55" s="153" t="s">
        <v>314</v>
      </c>
      <c r="K55" s="167">
        <v>5</v>
      </c>
      <c r="L55" s="95">
        <f>VLOOKUP(K55,Reinigungstage!A10:R31,18,FALSE)</f>
        <v>55</v>
      </c>
      <c r="M55" s="95">
        <f t="shared" si="15"/>
        <v>1448.7</v>
      </c>
      <c r="N55" s="168">
        <f t="shared" si="1"/>
        <v>0</v>
      </c>
      <c r="O55" s="95">
        <f ca="1">IF('SVS UnterhaltsRG'!H61="",0,'SVS UnterhaltsRG'!H61)</f>
        <v>0</v>
      </c>
      <c r="P55" s="95">
        <f t="shared" si="16"/>
        <v>0</v>
      </c>
      <c r="Q55" s="95">
        <f t="shared" ca="1" si="17"/>
        <v>0</v>
      </c>
      <c r="R55" s="95">
        <f t="shared" si="18"/>
        <v>0</v>
      </c>
      <c r="S55" s="95">
        <f t="shared" ca="1" si="19"/>
        <v>0</v>
      </c>
      <c r="T55" s="3" t="str">
        <f t="shared" si="20"/>
        <v>Leistungswert eintragen</v>
      </c>
      <c r="U55" s="3">
        <f t="shared" si="21"/>
        <v>0</v>
      </c>
    </row>
    <row r="56" spans="1:21" ht="15" customHeight="1" x14ac:dyDescent="0.2">
      <c r="A56" s="153">
        <v>35</v>
      </c>
      <c r="B56" s="165"/>
      <c r="C56" s="166" t="s">
        <v>377</v>
      </c>
      <c r="D56" s="166" t="s">
        <v>317</v>
      </c>
      <c r="E56" s="166" t="s">
        <v>381</v>
      </c>
      <c r="F56" s="166" t="s">
        <v>379</v>
      </c>
      <c r="G56" s="167">
        <v>18.170000000000002</v>
      </c>
      <c r="H56" s="167"/>
      <c r="I56" s="167"/>
      <c r="J56" s="153" t="s">
        <v>314</v>
      </c>
      <c r="K56" s="167">
        <v>5</v>
      </c>
      <c r="L56" s="95">
        <f>VLOOKUP(K56,Reinigungstage!A10:R31,18,FALSE)</f>
        <v>55</v>
      </c>
      <c r="M56" s="95">
        <f t="shared" si="15"/>
        <v>999.35</v>
      </c>
      <c r="N56" s="168">
        <f t="shared" si="1"/>
        <v>0</v>
      </c>
      <c r="O56" s="95">
        <f ca="1">IF('SVS UnterhaltsRG'!H61="",0,'SVS UnterhaltsRG'!H61)</f>
        <v>0</v>
      </c>
      <c r="P56" s="95">
        <f t="shared" si="16"/>
        <v>0</v>
      </c>
      <c r="Q56" s="95">
        <f t="shared" ca="1" si="17"/>
        <v>0</v>
      </c>
      <c r="R56" s="95">
        <f t="shared" si="18"/>
        <v>0</v>
      </c>
      <c r="S56" s="95">
        <f t="shared" ca="1" si="19"/>
        <v>0</v>
      </c>
      <c r="T56" s="3" t="str">
        <f t="shared" si="20"/>
        <v>Leistungswert eintragen</v>
      </c>
      <c r="U56" s="3">
        <f t="shared" si="21"/>
        <v>0</v>
      </c>
    </row>
    <row r="57" spans="1:21" ht="15" customHeight="1" x14ac:dyDescent="0.2">
      <c r="A57" s="153">
        <v>36</v>
      </c>
      <c r="B57" s="165"/>
      <c r="C57" s="166" t="s">
        <v>377</v>
      </c>
      <c r="D57" s="166" t="s">
        <v>317</v>
      </c>
      <c r="E57" s="166" t="s">
        <v>382</v>
      </c>
      <c r="F57" s="166" t="s">
        <v>379</v>
      </c>
      <c r="G57" s="167">
        <v>7.44</v>
      </c>
      <c r="H57" s="167"/>
      <c r="I57" s="167"/>
      <c r="J57" s="153" t="s">
        <v>314</v>
      </c>
      <c r="K57" s="167">
        <v>5</v>
      </c>
      <c r="L57" s="95">
        <f>VLOOKUP(K57,Reinigungstage!A10:R31,18,FALSE)</f>
        <v>55</v>
      </c>
      <c r="M57" s="95">
        <f t="shared" si="15"/>
        <v>409.2</v>
      </c>
      <c r="N57" s="168">
        <f t="shared" si="1"/>
        <v>0</v>
      </c>
      <c r="O57" s="95">
        <f ca="1">IF('SVS UnterhaltsRG'!H61="",0,'SVS UnterhaltsRG'!H61)</f>
        <v>0</v>
      </c>
      <c r="P57" s="95">
        <f t="shared" si="16"/>
        <v>0</v>
      </c>
      <c r="Q57" s="95">
        <f t="shared" ca="1" si="17"/>
        <v>0</v>
      </c>
      <c r="R57" s="95">
        <f t="shared" si="18"/>
        <v>0</v>
      </c>
      <c r="S57" s="95">
        <f t="shared" ca="1" si="19"/>
        <v>0</v>
      </c>
      <c r="T57" s="3" t="str">
        <f t="shared" si="20"/>
        <v>Leistungswert eintragen</v>
      </c>
      <c r="U57" s="3">
        <f t="shared" si="21"/>
        <v>0</v>
      </c>
    </row>
    <row r="58" spans="1:21" ht="15" customHeight="1" x14ac:dyDescent="0.2">
      <c r="A58" s="153">
        <v>37</v>
      </c>
      <c r="B58" s="165"/>
      <c r="C58" s="166" t="s">
        <v>377</v>
      </c>
      <c r="D58" s="166" t="s">
        <v>317</v>
      </c>
      <c r="E58" s="166" t="s">
        <v>383</v>
      </c>
      <c r="F58" s="166" t="s">
        <v>379</v>
      </c>
      <c r="G58" s="167">
        <v>11.75</v>
      </c>
      <c r="H58" s="167"/>
      <c r="I58" s="167"/>
      <c r="J58" s="153" t="s">
        <v>314</v>
      </c>
      <c r="K58" s="167">
        <v>5</v>
      </c>
      <c r="L58" s="95">
        <f>VLOOKUP(K58,Reinigungstage!A10:R31,18,FALSE)</f>
        <v>55</v>
      </c>
      <c r="M58" s="95">
        <f t="shared" si="15"/>
        <v>646.25</v>
      </c>
      <c r="N58" s="168">
        <f t="shared" si="1"/>
        <v>0</v>
      </c>
      <c r="O58" s="95">
        <f ca="1">IF('SVS UnterhaltsRG'!H61="",0,'SVS UnterhaltsRG'!H61)</f>
        <v>0</v>
      </c>
      <c r="P58" s="95">
        <f t="shared" si="16"/>
        <v>0</v>
      </c>
      <c r="Q58" s="95">
        <f t="shared" ca="1" si="17"/>
        <v>0</v>
      </c>
      <c r="R58" s="95">
        <f t="shared" si="18"/>
        <v>0</v>
      </c>
      <c r="S58" s="95">
        <f t="shared" ca="1" si="19"/>
        <v>0</v>
      </c>
      <c r="T58" s="3" t="str">
        <f t="shared" si="20"/>
        <v>Leistungswert eintragen</v>
      </c>
      <c r="U58" s="3">
        <f t="shared" si="21"/>
        <v>0</v>
      </c>
    </row>
    <row r="59" spans="1:21" ht="15" customHeight="1" x14ac:dyDescent="0.2">
      <c r="A59" s="153">
        <v>38</v>
      </c>
      <c r="B59" s="165"/>
      <c r="C59" s="166" t="s">
        <v>377</v>
      </c>
      <c r="D59" s="166" t="s">
        <v>317</v>
      </c>
      <c r="E59" s="166" t="s">
        <v>386</v>
      </c>
      <c r="F59" s="166" t="s">
        <v>287</v>
      </c>
      <c r="G59" s="167">
        <v>23.05</v>
      </c>
      <c r="H59" s="167"/>
      <c r="I59" s="167"/>
      <c r="J59" s="153" t="s">
        <v>313</v>
      </c>
      <c r="K59" s="167">
        <v>5</v>
      </c>
      <c r="L59" s="95">
        <f>VLOOKUP(K59,Reinigungstage!A10:R31,18,FALSE)</f>
        <v>55</v>
      </c>
      <c r="M59" s="95">
        <f t="shared" si="15"/>
        <v>1267.75</v>
      </c>
      <c r="N59" s="168">
        <f t="shared" si="1"/>
        <v>0</v>
      </c>
      <c r="O59" s="95">
        <f ca="1">IF('SVS UnterhaltsRG'!H61="",0,'SVS UnterhaltsRG'!H61)</f>
        <v>0</v>
      </c>
      <c r="P59" s="95">
        <f t="shared" si="16"/>
        <v>0</v>
      </c>
      <c r="Q59" s="95">
        <f t="shared" ca="1" si="17"/>
        <v>0</v>
      </c>
      <c r="R59" s="95">
        <f t="shared" si="18"/>
        <v>0</v>
      </c>
      <c r="S59" s="95">
        <f t="shared" ca="1" si="19"/>
        <v>0</v>
      </c>
      <c r="T59" s="3" t="str">
        <f t="shared" si="20"/>
        <v>Leistungswert eintragen</v>
      </c>
      <c r="U59" s="3">
        <f t="shared" si="21"/>
        <v>0</v>
      </c>
    </row>
    <row r="60" spans="1:21" ht="15" customHeight="1" x14ac:dyDescent="0.2">
      <c r="A60" s="153">
        <v>39</v>
      </c>
      <c r="B60" s="165"/>
      <c r="C60" s="166" t="s">
        <v>377</v>
      </c>
      <c r="D60" s="166" t="s">
        <v>325</v>
      </c>
      <c r="E60" s="166" t="s">
        <v>387</v>
      </c>
      <c r="F60" s="166" t="s">
        <v>287</v>
      </c>
      <c r="G60" s="167">
        <v>49.4</v>
      </c>
      <c r="H60" s="167"/>
      <c r="I60" s="167"/>
      <c r="J60" s="153" t="s">
        <v>313</v>
      </c>
      <c r="K60" s="167">
        <v>5</v>
      </c>
      <c r="L60" s="95">
        <f>VLOOKUP(K60,Reinigungstage!A10:R31,18,FALSE)</f>
        <v>55</v>
      </c>
      <c r="M60" s="95">
        <f t="shared" si="15"/>
        <v>2717</v>
      </c>
      <c r="N60" s="168">
        <f t="shared" si="1"/>
        <v>0</v>
      </c>
      <c r="O60" s="95">
        <f ca="1">IF('SVS UnterhaltsRG'!H61="",0,'SVS UnterhaltsRG'!H61)</f>
        <v>0</v>
      </c>
      <c r="P60" s="95">
        <f t="shared" si="16"/>
        <v>0</v>
      </c>
      <c r="Q60" s="95">
        <f t="shared" ca="1" si="17"/>
        <v>0</v>
      </c>
      <c r="R60" s="95">
        <f t="shared" si="18"/>
        <v>0</v>
      </c>
      <c r="S60" s="95">
        <f t="shared" ca="1" si="19"/>
        <v>0</v>
      </c>
      <c r="T60" s="3" t="str">
        <f t="shared" si="20"/>
        <v>Leistungswert eintragen</v>
      </c>
      <c r="U60" s="3">
        <f t="shared" si="21"/>
        <v>0</v>
      </c>
    </row>
  </sheetData>
  <sheetProtection algorithmName="SHA-512" hashValue="yN3LR9fCy6dPQ2mELLKXIqY9Fi0snfBc1QfeOWD5E9nTkVF1jlB8uyd3HeJJAMJB2U1K66mnuidgW7VgyqiPbA==" saltValue="H086+o692WAIfiPCsdAXXg==" spinCount="100000" sheet="1" objects="1" scenarios="1"/>
  <sortState xmlns:xlrd2="http://schemas.microsoft.com/office/spreadsheetml/2017/richdata2" ref="U4:U13">
    <sortCondition ref="U4"/>
  </sortState>
  <mergeCells count="16">
    <mergeCell ref="B13:E13"/>
    <mergeCell ref="B4:E5"/>
    <mergeCell ref="B6:E6"/>
    <mergeCell ref="B7:E7"/>
    <mergeCell ref="B8:E8"/>
    <mergeCell ref="B9:E9"/>
    <mergeCell ref="B10:E10"/>
    <mergeCell ref="B11:E11"/>
    <mergeCell ref="B12:E12"/>
    <mergeCell ref="N2:Q5"/>
    <mergeCell ref="A4:A5"/>
    <mergeCell ref="A2:E2"/>
    <mergeCell ref="G2:G3"/>
    <mergeCell ref="H2:H3"/>
    <mergeCell ref="I2:I3"/>
    <mergeCell ref="J2:J3"/>
  </mergeCells>
  <conditionalFormatting sqref="T22:T60">
    <cfRule type="containsText" dxfId="165" priority="1" stopIfTrue="1" operator="containsText" text="SVS prüfen">
      <formula>NOT(ISERROR(SEARCH("SVS prüfen",T22)))</formula>
    </cfRule>
    <cfRule type="containsText" dxfId="164" priority="2" stopIfTrue="1" operator="containsText" text="Leistungswert eintragen">
      <formula>NOT(ISERROR(SEARCH("Leistungswert eintragen",T22)))</formula>
    </cfRule>
  </conditionalFormatting>
  <hyperlinks>
    <hyperlink ref="M1" location="Inhaltsverzeichnis!A1" display="Zurück zum Inhaltsverzeichnis" xr:uid="{006C02A5-D22D-45A1-84FD-8E15DF4A5BE0}"/>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&amp;RKal Unter Fer Grundschule&amp;LStadt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Check Box 1">
              <controlPr defaultSize="0" autoFill="0" autoLine="0" autoPict="0">
                <anchor moveWithCells="1" sizeWithCells="1">
                  <from>
                    <xdr:col>12</xdr:col>
                    <xdr:colOff>19050</xdr:colOff>
                    <xdr:row>1</xdr:row>
                    <xdr:rowOff>38100</xdr:rowOff>
                  </from>
                  <to>
                    <xdr:col>12</xdr:col>
                    <xdr:colOff>809625</xdr:colOff>
                    <xdr:row>2</xdr:row>
                    <xdr:rowOff>19050</xdr:rowOff>
                  </to>
                </anchor>
              </controlPr>
            </control>
          </mc:Choice>
        </mc:AlternateContent>
        <mc:AlternateContent xmlns:mc="http://schemas.openxmlformats.org/markup-compatibility/2006">
          <mc:Choice Requires="x14">
            <control shapeId="105474" r:id="rId5" name="Check Box 2">
              <controlPr defaultSize="0" autoFill="0" autoLine="0" autoPict="0" altText="Hinweis 2">
                <anchor moveWithCells="1" sizeWithCells="1">
                  <from>
                    <xdr:col>12</xdr:col>
                    <xdr:colOff>19050</xdr:colOff>
                    <xdr:row>2</xdr:row>
                    <xdr:rowOff>19050</xdr:rowOff>
                  </from>
                  <to>
                    <xdr:col>12</xdr:col>
                    <xdr:colOff>809625</xdr:colOff>
                    <xdr:row>2</xdr:row>
                    <xdr:rowOff>266700</xdr:rowOff>
                  </to>
                </anchor>
              </controlPr>
            </control>
          </mc:Choice>
        </mc:AlternateContent>
        <mc:AlternateContent xmlns:mc="http://schemas.openxmlformats.org/markup-compatibility/2006">
          <mc:Choice Requires="x14">
            <control shapeId="105475" r:id="rId6" name="Check Box 3">
              <controlPr defaultSize="0" autoFill="0" autoLine="0" autoPict="0" altText="Hinweis 3">
                <anchor moveWithCells="1" sizeWithCells="1">
                  <from>
                    <xdr:col>12</xdr:col>
                    <xdr:colOff>19050</xdr:colOff>
                    <xdr:row>3</xdr:row>
                    <xdr:rowOff>9525</xdr:rowOff>
                  </from>
                  <to>
                    <xdr:col>12</xdr:col>
                    <xdr:colOff>809625</xdr:colOff>
                    <xdr:row>4</xdr:row>
                    <xdr:rowOff>57150</xdr:rowOff>
                  </to>
                </anchor>
              </controlPr>
            </control>
          </mc:Choice>
        </mc:AlternateContent>
        <mc:AlternateContent xmlns:mc="http://schemas.openxmlformats.org/markup-compatibility/2006">
          <mc:Choice Requires="x14">
            <control shapeId="105476" r:id="rId7" name="Check Box 4">
              <controlPr defaultSize="0" autoFill="0" autoLine="0" autoPict="0" altText="Hinweis 3">
                <anchor moveWithCells="1" sizeWithCells="1">
                  <from>
                    <xdr:col>12</xdr:col>
                    <xdr:colOff>19050</xdr:colOff>
                    <xdr:row>4</xdr:row>
                    <xdr:rowOff>66675</xdr:rowOff>
                  </from>
                  <to>
                    <xdr:col>12</xdr:col>
                    <xdr:colOff>809625</xdr:colOff>
                    <xdr:row>5</xdr:row>
                    <xdr:rowOff>123825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97CBB-79DA-4BB6-B655-5C0018FC5BD8}">
  <sheetPr codeName="Tabelle43">
    <tabColor indexed="40"/>
  </sheetPr>
  <dimension ref="A1:X105"/>
  <sheetViews>
    <sheetView showGridLines="0" zoomScaleNormal="100" workbookViewId="0">
      <pane ySplit="21" topLeftCell="A22" activePane="bottomLeft" state="frozen"/>
      <selection pane="bottomLeft"/>
    </sheetView>
  </sheetViews>
  <sheetFormatPr baseColWidth="10" defaultColWidth="0" defaultRowHeight="15" customHeight="1" x14ac:dyDescent="0.2"/>
  <cols>
    <col min="1" max="1" width="11.7109375" style="3" customWidth="1"/>
    <col min="2" max="2" width="7.7109375" style="3" customWidth="1"/>
    <col min="3" max="3" width="5.7109375" style="3" customWidth="1"/>
    <col min="4" max="4" width="8.28515625" style="3" customWidth="1"/>
    <col min="5" max="5" width="21.7109375" style="3" customWidth="1"/>
    <col min="6" max="6" width="15.42578125" style="3" customWidth="1"/>
    <col min="7" max="7" width="10.7109375" style="3" customWidth="1"/>
    <col min="8" max="8" width="9.7109375" style="3" customWidth="1"/>
    <col min="9" max="9" width="11.7109375" style="3" customWidth="1"/>
    <col min="10" max="10" width="10.5703125" style="3" bestFit="1" customWidth="1"/>
    <col min="11" max="11" width="7.85546875" style="3" customWidth="1"/>
    <col min="12" max="12" width="8.7109375" style="3" customWidth="1"/>
    <col min="13" max="13" width="11.42578125" style="3" customWidth="1"/>
    <col min="14" max="14" width="9.42578125" style="3" customWidth="1"/>
    <col min="15" max="15" width="8.42578125" style="3" customWidth="1"/>
    <col min="16" max="17" width="11.42578125" style="3" customWidth="1"/>
    <col min="18" max="18" width="10.5703125" style="3" customWidth="1"/>
    <col min="19" max="19" width="25.5703125" style="3" customWidth="1"/>
    <col min="20" max="16384" width="6.42578125" style="3" hidden="1"/>
  </cols>
  <sheetData>
    <row r="1" spans="1:22" ht="15" customHeight="1" x14ac:dyDescent="0.2">
      <c r="M1" s="5" t="s">
        <v>100</v>
      </c>
    </row>
    <row r="2" spans="1:22" ht="20.45" customHeight="1" x14ac:dyDescent="0.2">
      <c r="A2" s="217" t="s">
        <v>177</v>
      </c>
      <c r="B2" s="218"/>
      <c r="C2" s="218"/>
      <c r="D2" s="218"/>
      <c r="E2" s="219"/>
      <c r="G2" s="220" t="s">
        <v>190</v>
      </c>
      <c r="H2" s="220" t="s">
        <v>182</v>
      </c>
      <c r="I2" s="220" t="s">
        <v>183</v>
      </c>
      <c r="J2" s="220" t="s">
        <v>202</v>
      </c>
      <c r="M2" s="141" t="b">
        <v>0</v>
      </c>
      <c r="N2" s="192" t="str">
        <f>IF(M2=TRUE,"Bitte tragen Sie Ihre Leistungswerte in die gelben Zellen direkt unter der Zelle Leistungswerte (m²/h) ein. Die Leistungswerte werden automatisch in die untere Kalkulation übernommen. Die linke Tabelle ist lediglich eine Ausfüllhilfe.",IF(M3=TRUE,"Wenn eine Jahresreinigungsfläche für eine Reinigungsgruppe mit 0 angegeben ist, brauchen Sie den Leistungswert nicht auszufüllen. Es schadet aber nichts, wenn Sie es trotzdem tun.",IF(M4=TRUE,"Sie können in der Kalkulationstabelle (unten) in jedem einzelnen Raum die Leistungswerte (gelbe Zellen) beliebig oft individuell anpassen. Mit dem individuellen Überschreiben wird die Verknüpfung zu den Leistungswerten in der obigen Tabelle aufgehoben.",IF( M5=TRUE,"Die rot markierten Informationen sind auch lediglich eine Unterstützung. Sie erscheinen, wenn gelbe Zellen in dieser Tabelle oder in den Stundenverrechnungssätzen (SVS) nicht ausgefüllt sind. Wenn keine rote Schrift mehr da ist, ist alles vollständig.",""))))</f>
        <v/>
      </c>
      <c r="O2" s="192"/>
      <c r="P2" s="192"/>
      <c r="Q2" s="192"/>
    </row>
    <row r="3" spans="1:22" ht="24" customHeight="1" x14ac:dyDescent="0.2">
      <c r="A3" s="154" t="s">
        <v>185</v>
      </c>
      <c r="B3" s="155"/>
      <c r="C3" s="155"/>
      <c r="D3" s="155"/>
      <c r="E3" s="156"/>
      <c r="G3" s="221"/>
      <c r="H3" s="221"/>
      <c r="I3" s="221"/>
      <c r="J3" s="221"/>
      <c r="M3" s="141" t="b">
        <v>0</v>
      </c>
      <c r="N3" s="192"/>
      <c r="O3" s="192"/>
      <c r="P3" s="192"/>
      <c r="Q3" s="192"/>
    </row>
    <row r="4" spans="1:22" ht="18.600000000000001" customHeight="1" x14ac:dyDescent="0.2">
      <c r="A4" s="215" t="s">
        <v>91</v>
      </c>
      <c r="B4" s="225" t="str">
        <f>IF(Inhaltsverzeichnis!C3="","",Inhaltsverzeichnis!C3)</f>
        <v/>
      </c>
      <c r="C4" s="226"/>
      <c r="D4" s="226"/>
      <c r="E4" s="227"/>
      <c r="G4" s="153" t="s">
        <v>402</v>
      </c>
      <c r="H4" s="157"/>
      <c r="I4" s="158">
        <f ca="1">SUMIF('Kal Grund Grundschule'!J22:M105,$G$4,'Kal Grund Grundschule'!M22:M105)</f>
        <v>89.779999999999987</v>
      </c>
      <c r="J4" s="118">
        <f>COUNTIFS('Kal Grund Grundschule'!J22:M105,$G$4)</f>
        <v>5</v>
      </c>
      <c r="M4" s="141" t="b">
        <v>0</v>
      </c>
      <c r="N4" s="192"/>
      <c r="O4" s="192"/>
      <c r="P4" s="192"/>
      <c r="Q4" s="192"/>
      <c r="U4" s="153" t="s">
        <v>402</v>
      </c>
      <c r="V4" s="3">
        <v>13</v>
      </c>
    </row>
    <row r="5" spans="1:22" ht="15" customHeight="1" x14ac:dyDescent="0.2">
      <c r="A5" s="216"/>
      <c r="B5" s="228"/>
      <c r="C5" s="229"/>
      <c r="D5" s="229"/>
      <c r="E5" s="230"/>
      <c r="G5" s="153" t="s">
        <v>315</v>
      </c>
      <c r="H5" s="157"/>
      <c r="I5" s="158">
        <f ca="1">SUMIF('Kal Grund Grundschule'!J22:M105,$G$5,'Kal Grund Grundschule'!M22:M105)</f>
        <v>167.08</v>
      </c>
      <c r="J5" s="118">
        <f>COUNTIFS('Kal Grund Grundschule'!J22:M105,$G$5)</f>
        <v>6</v>
      </c>
      <c r="M5" s="141" t="b">
        <v>0</v>
      </c>
      <c r="N5" s="192"/>
      <c r="O5" s="192"/>
      <c r="P5" s="192"/>
      <c r="Q5" s="192"/>
      <c r="U5" s="153" t="s">
        <v>315</v>
      </c>
      <c r="V5" s="3">
        <v>15</v>
      </c>
    </row>
    <row r="6" spans="1:22" ht="15" customHeight="1" x14ac:dyDescent="0.2">
      <c r="A6" s="159" t="s">
        <v>200</v>
      </c>
      <c r="B6" s="231" t="s">
        <v>245</v>
      </c>
      <c r="C6" s="232"/>
      <c r="D6" s="232"/>
      <c r="E6" s="233"/>
      <c r="G6" s="153" t="s">
        <v>403</v>
      </c>
      <c r="H6" s="157"/>
      <c r="I6" s="158">
        <f ca="1">SUMIF('Kal Grund Grundschule'!J22:M105,$G$6,'Kal Grund Grundschule'!M22:M105)</f>
        <v>145.09</v>
      </c>
      <c r="J6" s="118">
        <f>COUNTIFS('Kal Grund Grundschule'!J22:M105,$G$6)</f>
        <v>3</v>
      </c>
      <c r="U6" s="153" t="s">
        <v>403</v>
      </c>
      <c r="V6" s="3">
        <v>15</v>
      </c>
    </row>
    <row r="7" spans="1:22" ht="15" customHeight="1" x14ac:dyDescent="0.2">
      <c r="A7" s="160" t="s">
        <v>198</v>
      </c>
      <c r="B7" s="234" t="s">
        <v>250</v>
      </c>
      <c r="C7" s="232"/>
      <c r="D7" s="232"/>
      <c r="E7" s="233"/>
      <c r="G7" s="153" t="s">
        <v>314</v>
      </c>
      <c r="H7" s="157"/>
      <c r="I7" s="158">
        <f ca="1">SUMIF('Kal Grund Grundschule'!J22:M105,$G$7,'Kal Grund Grundschule'!M22:M105)</f>
        <v>70.400000000000006</v>
      </c>
      <c r="J7" s="118">
        <f>COUNTIFS('Kal Grund Grundschule'!J22:M105,$G$7)</f>
        <v>5</v>
      </c>
      <c r="U7" s="153" t="s">
        <v>314</v>
      </c>
      <c r="V7" s="3">
        <v>7</v>
      </c>
    </row>
    <row r="8" spans="1:22" ht="15" customHeight="1" x14ac:dyDescent="0.2">
      <c r="A8" s="160" t="s">
        <v>199</v>
      </c>
      <c r="B8" s="231"/>
      <c r="C8" s="232"/>
      <c r="D8" s="232"/>
      <c r="E8" s="233"/>
      <c r="G8" s="153" t="s">
        <v>312</v>
      </c>
      <c r="H8" s="157"/>
      <c r="I8" s="158">
        <f ca="1">SUMIF('Kal Grund Grundschule'!J22:M105,$G$8,'Kal Grund Grundschule'!M22:M105)</f>
        <v>110.16</v>
      </c>
      <c r="J8" s="118">
        <f>COUNTIFS('Kal Grund Grundschule'!J22:M105,$G$8)</f>
        <v>9</v>
      </c>
      <c r="L8" s="169" t="str">
        <f>IF(N14&gt;0,"Ihre Eintragungen der Leistungswerte liegen weit über den Erfahrungswerten aus der Preisschätzung.","")</f>
        <v/>
      </c>
      <c r="U8" s="153" t="s">
        <v>312</v>
      </c>
      <c r="V8" s="3">
        <v>20</v>
      </c>
    </row>
    <row r="9" spans="1:22" ht="15" customHeight="1" x14ac:dyDescent="0.2">
      <c r="A9" s="159" t="s">
        <v>197</v>
      </c>
      <c r="B9" s="235" t="s">
        <v>250</v>
      </c>
      <c r="C9" s="232"/>
      <c r="D9" s="232"/>
      <c r="E9" s="233"/>
      <c r="G9" s="153" t="s">
        <v>310</v>
      </c>
      <c r="H9" s="157"/>
      <c r="I9" s="158">
        <f ca="1">SUMIF('Kal Grund Grundschule'!J22:M105,$G$9,'Kal Grund Grundschule'!M22:M105)</f>
        <v>107.53</v>
      </c>
      <c r="J9" s="118">
        <f>COUNTIFS('Kal Grund Grundschule'!J22:M105,$G$9)</f>
        <v>14</v>
      </c>
      <c r="L9" s="169" t="str">
        <f>IF(N14&gt;0,"Bitte prüfen Sie diese.","")</f>
        <v/>
      </c>
      <c r="U9" s="153" t="s">
        <v>310</v>
      </c>
      <c r="V9" s="3">
        <v>14</v>
      </c>
    </row>
    <row r="10" spans="1:22" ht="15" customHeight="1" x14ac:dyDescent="0.2">
      <c r="A10" s="160" t="s">
        <v>179</v>
      </c>
      <c r="B10" s="231" t="s">
        <v>251</v>
      </c>
      <c r="C10" s="232"/>
      <c r="D10" s="232"/>
      <c r="E10" s="233"/>
      <c r="G10" s="153" t="s">
        <v>291</v>
      </c>
      <c r="H10" s="157"/>
      <c r="I10" s="158">
        <f ca="1">SUMIF('Kal Grund Grundschule'!J22:M105,$G$10,'Kal Grund Grundschule'!M22:M105)</f>
        <v>70.739999999999995</v>
      </c>
      <c r="J10" s="118">
        <f>COUNTIFS('Kal Grund Grundschule'!J22:M105,$G$10)</f>
        <v>5</v>
      </c>
      <c r="L10" s="169" t="str">
        <f>IF(N14&gt;0,"Beachten Sie, dass Sie frei in der Kalkulation dieser Leistungswerte sind und wir durch den Hinweis","")</f>
        <v/>
      </c>
      <c r="U10" s="153" t="s">
        <v>291</v>
      </c>
      <c r="V10" s="3">
        <v>16.5</v>
      </c>
    </row>
    <row r="11" spans="1:22" ht="15" customHeight="1" x14ac:dyDescent="0.2">
      <c r="A11" s="160" t="s">
        <v>180</v>
      </c>
      <c r="B11" s="236" t="s">
        <v>248</v>
      </c>
      <c r="C11" s="232"/>
      <c r="D11" s="232"/>
      <c r="E11" s="233"/>
      <c r="G11" s="153" t="s">
        <v>401</v>
      </c>
      <c r="H11" s="157"/>
      <c r="I11" s="158">
        <f ca="1">SUMIF('Kal Grund Grundschule'!J22:M105,$G$11,'Kal Grund Grundschule'!M22:M105)</f>
        <v>818.27999999999986</v>
      </c>
      <c r="J11" s="118">
        <f>COUNTIFS('Kal Grund Grundschule'!J22:M105,$G$11)</f>
        <v>19</v>
      </c>
      <c r="L11" s="169" t="str">
        <f>IF(N14&gt;0,"lediglich Fehleingaben vermeiden wollen.","")</f>
        <v/>
      </c>
      <c r="U11" s="153" t="s">
        <v>401</v>
      </c>
      <c r="V11" s="3">
        <v>14</v>
      </c>
    </row>
    <row r="12" spans="1:22" ht="15" customHeight="1" x14ac:dyDescent="0.2">
      <c r="A12" s="160" t="s">
        <v>181</v>
      </c>
      <c r="B12" s="231" t="s">
        <v>249</v>
      </c>
      <c r="C12" s="232"/>
      <c r="D12" s="232"/>
      <c r="E12" s="233"/>
      <c r="G12" s="153" t="s">
        <v>313</v>
      </c>
      <c r="H12" s="157"/>
      <c r="I12" s="158">
        <f ca="1">SUMIF('Kal Grund Grundschule'!J22:M105,$G$12,'Kal Grund Grundschule'!M22:M105)</f>
        <v>557.43000000000006</v>
      </c>
      <c r="J12" s="118">
        <f>COUNTIFS('Kal Grund Grundschule'!J22:M105,$G$12)</f>
        <v>17</v>
      </c>
      <c r="U12" s="153" t="s">
        <v>313</v>
      </c>
      <c r="V12" s="3">
        <v>24</v>
      </c>
    </row>
    <row r="13" spans="1:22" ht="15" customHeight="1" x14ac:dyDescent="0.2">
      <c r="A13" s="160" t="s">
        <v>184</v>
      </c>
      <c r="B13" s="222" t="str">
        <f>HYPERLINK("http://maps.google.de/maps?hl=de&amp;bav=on.2,or.r_qf.&amp;bvm=bv.44770516,d.Yms&amp;biw=1395&amp;bih=916&amp;um=1&amp;ie=UTF-8&amp;q="&amp;B7&amp;"+"&amp;B8&amp;"+"&amp;B10&amp;"+"&amp;B11&amp;"+"&amp;B12&amp;"","In Google-Maps anzeigen (wenn Internet verfügbar)")</f>
        <v>In Google-Maps anzeigen (wenn Internet verfügbar)</v>
      </c>
      <c r="C13" s="223"/>
      <c r="D13" s="223"/>
      <c r="E13" s="224"/>
      <c r="G13" s="153" t="s">
        <v>404</v>
      </c>
      <c r="H13" s="157"/>
      <c r="I13" s="158">
        <f ca="1">SUMIF('Kal Grund Grundschule'!J22:M105,$G$13,'Kal Grund Grundschule'!M22:M105)</f>
        <v>96.74</v>
      </c>
      <c r="J13" s="118">
        <f>COUNTIFS('Kal Grund Grundschule'!J22:M105,$G$13)</f>
        <v>1</v>
      </c>
      <c r="U13" s="153" t="s">
        <v>404</v>
      </c>
      <c r="V13" s="3">
        <v>16.5</v>
      </c>
    </row>
    <row r="14" spans="1:22" ht="15" customHeight="1" x14ac:dyDescent="0.2">
      <c r="N14" s="170">
        <f>COUNTIF(X22:X$105,1)</f>
        <v>0</v>
      </c>
      <c r="O14" s="3" t="str">
        <f>IF(N14&gt;0,"Wert(e) prüfen.","")</f>
        <v/>
      </c>
      <c r="S14" s="161">
        <f>IF(COUNTA($S$22:$S$105)-COUNTBLANK($S$22:$S$105)=0,"",COUNTA($S$22:$S$105)-COUNTBLANK($S$22:$S$105))</f>
        <v>84</v>
      </c>
    </row>
    <row r="15" spans="1:22" ht="15" hidden="1" customHeight="1" x14ac:dyDescent="0.2"/>
    <row r="16" spans="1:22" ht="15" hidden="1" customHeight="1" x14ac:dyDescent="0.2"/>
    <row r="17" spans="1:24" ht="15" hidden="1" customHeight="1" x14ac:dyDescent="0.2"/>
    <row r="18" spans="1:24" ht="15" hidden="1" customHeight="1" x14ac:dyDescent="0.2"/>
    <row r="19" spans="1:24" ht="15" hidden="1" customHeight="1" x14ac:dyDescent="0.2"/>
    <row r="20" spans="1:24" ht="45" customHeight="1" x14ac:dyDescent="0.2">
      <c r="A20" s="1" t="s">
        <v>92</v>
      </c>
      <c r="B20" s="1" t="s">
        <v>97</v>
      </c>
      <c r="C20" s="1" t="s">
        <v>93</v>
      </c>
      <c r="D20" s="1" t="s">
        <v>94</v>
      </c>
      <c r="E20" s="1" t="s">
        <v>98</v>
      </c>
      <c r="F20" s="1" t="s">
        <v>95</v>
      </c>
      <c r="G20" s="1" t="s">
        <v>121</v>
      </c>
      <c r="H20" s="1" t="s">
        <v>108</v>
      </c>
      <c r="I20" s="1" t="s">
        <v>109</v>
      </c>
      <c r="J20" s="1" t="s">
        <v>99</v>
      </c>
      <c r="K20" s="1" t="s">
        <v>106</v>
      </c>
      <c r="L20" s="1" t="s">
        <v>110</v>
      </c>
      <c r="M20" s="1" t="s">
        <v>111</v>
      </c>
      <c r="N20" s="1" t="s">
        <v>107</v>
      </c>
      <c r="O20" s="1" t="s">
        <v>112</v>
      </c>
      <c r="P20" s="1" t="s">
        <v>113</v>
      </c>
      <c r="Q20" s="1" t="s">
        <v>114</v>
      </c>
      <c r="R20" s="1" t="s">
        <v>140</v>
      </c>
    </row>
    <row r="21" spans="1:24" ht="29.1" customHeight="1" x14ac:dyDescent="0.2">
      <c r="A21" s="162" t="s">
        <v>125</v>
      </c>
      <c r="B21" s="14"/>
      <c r="C21" s="14"/>
      <c r="D21" s="14"/>
      <c r="E21" s="14"/>
      <c r="F21" s="14"/>
      <c r="G21" s="163">
        <f>SUM($G$22:$G$105)</f>
        <v>2233.2299999999996</v>
      </c>
      <c r="H21" s="163">
        <f>SUM($H$22:$H$105)</f>
        <v>36.72</v>
      </c>
      <c r="I21" s="163">
        <f>SUM($I$22:$I$105)</f>
        <v>3</v>
      </c>
      <c r="J21" s="95"/>
      <c r="K21" s="95"/>
      <c r="L21" s="164">
        <f>MAX(L22:L105)</f>
        <v>1</v>
      </c>
      <c r="M21" s="163">
        <f>SUM($M$22:$M$105)</f>
        <v>2233.2299999999996</v>
      </c>
      <c r="N21" s="95"/>
      <c r="O21" s="95"/>
      <c r="P21" s="163">
        <f>SUM($P$22:$P$105)</f>
        <v>0</v>
      </c>
      <c r="Q21" s="163">
        <f>SUM($Q$22:$Q$105)</f>
        <v>0</v>
      </c>
      <c r="R21" s="163">
        <f>ROUND(IF(Q21=0,0,Q21/L21),2)</f>
        <v>0</v>
      </c>
    </row>
    <row r="22" spans="1:24" ht="15" customHeight="1" x14ac:dyDescent="0.2">
      <c r="A22" s="153">
        <v>1</v>
      </c>
      <c r="B22" s="165"/>
      <c r="C22" s="166" t="s">
        <v>316</v>
      </c>
      <c r="D22" s="166" t="s">
        <v>317</v>
      </c>
      <c r="E22" s="166" t="s">
        <v>310</v>
      </c>
      <c r="F22" s="166" t="s">
        <v>280</v>
      </c>
      <c r="G22" s="167">
        <v>8.25</v>
      </c>
      <c r="H22" s="167"/>
      <c r="I22" s="167"/>
      <c r="J22" s="153" t="s">
        <v>310</v>
      </c>
      <c r="K22" s="153" t="s">
        <v>168</v>
      </c>
      <c r="L22" s="95">
        <f>VLOOKUP(K22,Reinigungstage!A10:O31,15,FALSE)</f>
        <v>1</v>
      </c>
      <c r="M22" s="95">
        <f t="shared" ref="M22:M52" si="0">ROUND(IF(L22=0,0,L22*G22),2)</f>
        <v>8.25</v>
      </c>
      <c r="N22" s="168">
        <f t="shared" ref="N22:N52" si="1">VLOOKUP(J22,$G$4:$H$13,2,FALSE)</f>
        <v>0</v>
      </c>
      <c r="O22" s="95">
        <f ca="1">IF('SVS GrundRG'!H61="",0,'SVS GrundRG'!H61)</f>
        <v>0</v>
      </c>
      <c r="P22" s="95">
        <f t="shared" ref="P22:P52" si="2">ROUND(IF(N22=0,0,M22/N22),2)</f>
        <v>0</v>
      </c>
      <c r="Q22" s="95">
        <f t="shared" ref="Q22:Q52" si="3">ROUND(IF(P22=0,0,P22*O22),2)</f>
        <v>0</v>
      </c>
      <c r="R22" s="95">
        <f t="shared" ref="R22:R52" si="4">ROUND(IF(P22=0,0,Q22/L22),2)</f>
        <v>0</v>
      </c>
      <c r="S22" s="3" t="str">
        <f t="shared" ref="S22:S52" si="5">IF(M22=0,"",IF(N22=0,"Leistungswert eintragen",IF(O22=0,"SVS prüfen","")))</f>
        <v>Leistungswert eintragen</v>
      </c>
      <c r="U22" s="3">
        <f t="shared" ref="U22:U52" si="6">VLOOKUP(J22,$U$4:$V$13,2,FALSE)</f>
        <v>14</v>
      </c>
      <c r="V22" s="3">
        <f t="shared" ref="V22:V52" si="7">U22*30%</f>
        <v>4.2</v>
      </c>
      <c r="W22" s="3">
        <f t="shared" ref="W22:W52" si="8">SUM(U22:V22)</f>
        <v>18.2</v>
      </c>
      <c r="X22" s="3" t="str">
        <f t="shared" ref="X22:X52" si="9">IF(N22=0,"",IF(W22&lt;N22,1,IF(W22&gt;=N22,0,"")))</f>
        <v/>
      </c>
    </row>
    <row r="23" spans="1:24" ht="15" customHeight="1" x14ac:dyDescent="0.2">
      <c r="A23" s="153">
        <v>2</v>
      </c>
      <c r="B23" s="165" t="s">
        <v>9</v>
      </c>
      <c r="C23" s="166" t="s">
        <v>306</v>
      </c>
      <c r="D23" s="166" t="s">
        <v>317</v>
      </c>
      <c r="E23" s="166" t="s">
        <v>291</v>
      </c>
      <c r="F23" s="166" t="s">
        <v>287</v>
      </c>
      <c r="G23" s="167">
        <v>12.99</v>
      </c>
      <c r="H23" s="167"/>
      <c r="I23" s="167"/>
      <c r="J23" s="153" t="s">
        <v>291</v>
      </c>
      <c r="K23" s="153" t="s">
        <v>168</v>
      </c>
      <c r="L23" s="95">
        <f>VLOOKUP(K23,Reinigungstage!A10:O31,15,FALSE)</f>
        <v>1</v>
      </c>
      <c r="M23" s="95">
        <f t="shared" si="0"/>
        <v>12.99</v>
      </c>
      <c r="N23" s="168">
        <f t="shared" si="1"/>
        <v>0</v>
      </c>
      <c r="O23" s="95">
        <f ca="1">IF('SVS GrundRG'!H61="",0,'SVS GrundRG'!H61)</f>
        <v>0</v>
      </c>
      <c r="P23" s="95">
        <f t="shared" si="2"/>
        <v>0</v>
      </c>
      <c r="Q23" s="95">
        <f t="shared" si="3"/>
        <v>0</v>
      </c>
      <c r="R23" s="95">
        <f t="shared" si="4"/>
        <v>0</v>
      </c>
      <c r="S23" s="3" t="str">
        <f t="shared" si="5"/>
        <v>Leistungswert eintragen</v>
      </c>
      <c r="U23" s="3">
        <f t="shared" si="6"/>
        <v>16.5</v>
      </c>
      <c r="V23" s="3">
        <f t="shared" si="7"/>
        <v>4.95</v>
      </c>
      <c r="W23" s="3">
        <f t="shared" si="8"/>
        <v>21.45</v>
      </c>
      <c r="X23" s="3" t="str">
        <f t="shared" si="9"/>
        <v/>
      </c>
    </row>
    <row r="24" spans="1:24" ht="15" customHeight="1" x14ac:dyDescent="0.2">
      <c r="A24" s="153">
        <v>3</v>
      </c>
      <c r="B24" s="165" t="s">
        <v>7</v>
      </c>
      <c r="C24" s="166" t="s">
        <v>306</v>
      </c>
      <c r="D24" s="166" t="s">
        <v>317</v>
      </c>
      <c r="E24" s="166" t="s">
        <v>320</v>
      </c>
      <c r="F24" s="166" t="s">
        <v>287</v>
      </c>
      <c r="G24" s="167">
        <v>54.26</v>
      </c>
      <c r="H24" s="167"/>
      <c r="I24" s="167"/>
      <c r="J24" s="153" t="s">
        <v>401</v>
      </c>
      <c r="K24" s="153" t="s">
        <v>168</v>
      </c>
      <c r="L24" s="95">
        <f>VLOOKUP(K24,Reinigungstage!A10:O31,15,FALSE)</f>
        <v>1</v>
      </c>
      <c r="M24" s="95">
        <f t="shared" si="0"/>
        <v>54.26</v>
      </c>
      <c r="N24" s="168">
        <f t="shared" si="1"/>
        <v>0</v>
      </c>
      <c r="O24" s="95">
        <f ca="1">IF('SVS GrundRG'!H61="",0,'SVS GrundRG'!H61)</f>
        <v>0</v>
      </c>
      <c r="P24" s="95">
        <f t="shared" si="2"/>
        <v>0</v>
      </c>
      <c r="Q24" s="95">
        <f t="shared" si="3"/>
        <v>0</v>
      </c>
      <c r="R24" s="95">
        <f t="shared" si="4"/>
        <v>0</v>
      </c>
      <c r="S24" s="3" t="str">
        <f t="shared" si="5"/>
        <v>Leistungswert eintragen</v>
      </c>
      <c r="U24" s="3">
        <f t="shared" si="6"/>
        <v>14</v>
      </c>
      <c r="V24" s="3">
        <f t="shared" si="7"/>
        <v>4.2</v>
      </c>
      <c r="W24" s="3">
        <f t="shared" si="8"/>
        <v>18.2</v>
      </c>
      <c r="X24" s="3" t="str">
        <f t="shared" si="9"/>
        <v/>
      </c>
    </row>
    <row r="25" spans="1:24" ht="15" customHeight="1" x14ac:dyDescent="0.2">
      <c r="A25" s="153">
        <v>4</v>
      </c>
      <c r="B25" s="165" t="s">
        <v>11</v>
      </c>
      <c r="C25" s="166" t="s">
        <v>306</v>
      </c>
      <c r="D25" s="166" t="s">
        <v>317</v>
      </c>
      <c r="E25" s="166" t="s">
        <v>320</v>
      </c>
      <c r="F25" s="166" t="s">
        <v>287</v>
      </c>
      <c r="G25" s="167">
        <v>54.98</v>
      </c>
      <c r="H25" s="167"/>
      <c r="I25" s="167"/>
      <c r="J25" s="153" t="s">
        <v>401</v>
      </c>
      <c r="K25" s="153" t="s">
        <v>168</v>
      </c>
      <c r="L25" s="95">
        <f>VLOOKUP(K25,Reinigungstage!A10:O31,15,FALSE)</f>
        <v>1</v>
      </c>
      <c r="M25" s="95">
        <f t="shared" si="0"/>
        <v>54.98</v>
      </c>
      <c r="N25" s="168">
        <f t="shared" si="1"/>
        <v>0</v>
      </c>
      <c r="O25" s="95">
        <f ca="1">IF('SVS GrundRG'!H61="",0,'SVS GrundRG'!H61)</f>
        <v>0</v>
      </c>
      <c r="P25" s="95">
        <f t="shared" si="2"/>
        <v>0</v>
      </c>
      <c r="Q25" s="95">
        <f t="shared" si="3"/>
        <v>0</v>
      </c>
      <c r="R25" s="95">
        <f t="shared" si="4"/>
        <v>0</v>
      </c>
      <c r="S25" s="3" t="str">
        <f t="shared" si="5"/>
        <v>Leistungswert eintragen</v>
      </c>
      <c r="U25" s="3">
        <f t="shared" si="6"/>
        <v>14</v>
      </c>
      <c r="V25" s="3">
        <f t="shared" si="7"/>
        <v>4.2</v>
      </c>
      <c r="W25" s="3">
        <f t="shared" si="8"/>
        <v>18.2</v>
      </c>
      <c r="X25" s="3" t="str">
        <f t="shared" si="9"/>
        <v/>
      </c>
    </row>
    <row r="26" spans="1:24" ht="15" customHeight="1" x14ac:dyDescent="0.2">
      <c r="A26" s="153">
        <v>5</v>
      </c>
      <c r="B26" s="165" t="s">
        <v>13</v>
      </c>
      <c r="C26" s="166" t="s">
        <v>306</v>
      </c>
      <c r="D26" s="166" t="s">
        <v>317</v>
      </c>
      <c r="E26" s="166" t="s">
        <v>321</v>
      </c>
      <c r="F26" s="166" t="s">
        <v>287</v>
      </c>
      <c r="G26" s="167">
        <v>33.200000000000003</v>
      </c>
      <c r="H26" s="167"/>
      <c r="I26" s="167"/>
      <c r="J26" s="153" t="s">
        <v>401</v>
      </c>
      <c r="K26" s="153" t="s">
        <v>168</v>
      </c>
      <c r="L26" s="95">
        <f>VLOOKUP(K26,Reinigungstage!A10:O31,15,FALSE)</f>
        <v>1</v>
      </c>
      <c r="M26" s="95">
        <f t="shared" si="0"/>
        <v>33.200000000000003</v>
      </c>
      <c r="N26" s="168">
        <f t="shared" si="1"/>
        <v>0</v>
      </c>
      <c r="O26" s="95">
        <f ca="1">IF('SVS GrundRG'!H61="",0,'SVS GrundRG'!H61)</f>
        <v>0</v>
      </c>
      <c r="P26" s="95">
        <f t="shared" si="2"/>
        <v>0</v>
      </c>
      <c r="Q26" s="95">
        <f t="shared" si="3"/>
        <v>0</v>
      </c>
      <c r="R26" s="95">
        <f t="shared" si="4"/>
        <v>0</v>
      </c>
      <c r="S26" s="3" t="str">
        <f t="shared" si="5"/>
        <v>Leistungswert eintragen</v>
      </c>
      <c r="U26" s="3">
        <f t="shared" si="6"/>
        <v>14</v>
      </c>
      <c r="V26" s="3">
        <f t="shared" si="7"/>
        <v>4.2</v>
      </c>
      <c r="W26" s="3">
        <f t="shared" si="8"/>
        <v>18.2</v>
      </c>
      <c r="X26" s="3" t="str">
        <f t="shared" si="9"/>
        <v/>
      </c>
    </row>
    <row r="27" spans="1:24" ht="15" customHeight="1" x14ac:dyDescent="0.2">
      <c r="A27" s="153">
        <v>6</v>
      </c>
      <c r="B27" s="165" t="s">
        <v>15</v>
      </c>
      <c r="C27" s="166" t="s">
        <v>306</v>
      </c>
      <c r="D27" s="166" t="s">
        <v>317</v>
      </c>
      <c r="E27" s="166" t="s">
        <v>320</v>
      </c>
      <c r="F27" s="166" t="s">
        <v>287</v>
      </c>
      <c r="G27" s="167">
        <v>55.07</v>
      </c>
      <c r="H27" s="167"/>
      <c r="I27" s="167"/>
      <c r="J27" s="153" t="s">
        <v>401</v>
      </c>
      <c r="K27" s="153" t="s">
        <v>168</v>
      </c>
      <c r="L27" s="95">
        <f>VLOOKUP(K27,Reinigungstage!A10:O31,15,FALSE)</f>
        <v>1</v>
      </c>
      <c r="M27" s="95">
        <f t="shared" si="0"/>
        <v>55.07</v>
      </c>
      <c r="N27" s="168">
        <f t="shared" si="1"/>
        <v>0</v>
      </c>
      <c r="O27" s="95">
        <f ca="1">IF('SVS GrundRG'!H61="",0,'SVS GrundRG'!H61)</f>
        <v>0</v>
      </c>
      <c r="P27" s="95">
        <f t="shared" si="2"/>
        <v>0</v>
      </c>
      <c r="Q27" s="95">
        <f t="shared" si="3"/>
        <v>0</v>
      </c>
      <c r="R27" s="95">
        <f t="shared" si="4"/>
        <v>0</v>
      </c>
      <c r="S27" s="3" t="str">
        <f t="shared" si="5"/>
        <v>Leistungswert eintragen</v>
      </c>
      <c r="U27" s="3">
        <f t="shared" si="6"/>
        <v>14</v>
      </c>
      <c r="V27" s="3">
        <f t="shared" si="7"/>
        <v>4.2</v>
      </c>
      <c r="W27" s="3">
        <f t="shared" si="8"/>
        <v>18.2</v>
      </c>
      <c r="X27" s="3" t="str">
        <f t="shared" si="9"/>
        <v/>
      </c>
    </row>
    <row r="28" spans="1:24" ht="15" customHeight="1" x14ac:dyDescent="0.2">
      <c r="A28" s="153">
        <v>7</v>
      </c>
      <c r="B28" s="165" t="s">
        <v>322</v>
      </c>
      <c r="C28" s="166" t="s">
        <v>306</v>
      </c>
      <c r="D28" s="166" t="s">
        <v>317</v>
      </c>
      <c r="E28" s="166" t="s">
        <v>320</v>
      </c>
      <c r="F28" s="166" t="s">
        <v>287</v>
      </c>
      <c r="G28" s="167">
        <v>52.8</v>
      </c>
      <c r="H28" s="167"/>
      <c r="I28" s="167"/>
      <c r="J28" s="153" t="s">
        <v>401</v>
      </c>
      <c r="K28" s="153" t="s">
        <v>168</v>
      </c>
      <c r="L28" s="95">
        <f>VLOOKUP(K28,Reinigungstage!A10:O31,15,FALSE)</f>
        <v>1</v>
      </c>
      <c r="M28" s="95">
        <f t="shared" si="0"/>
        <v>52.8</v>
      </c>
      <c r="N28" s="168">
        <f t="shared" si="1"/>
        <v>0</v>
      </c>
      <c r="O28" s="95">
        <f ca="1">IF('SVS GrundRG'!H61="",0,'SVS GrundRG'!H61)</f>
        <v>0</v>
      </c>
      <c r="P28" s="95">
        <f t="shared" si="2"/>
        <v>0</v>
      </c>
      <c r="Q28" s="95">
        <f t="shared" si="3"/>
        <v>0</v>
      </c>
      <c r="R28" s="95">
        <f t="shared" si="4"/>
        <v>0</v>
      </c>
      <c r="S28" s="3" t="str">
        <f t="shared" si="5"/>
        <v>Leistungswert eintragen</v>
      </c>
      <c r="U28" s="3">
        <f t="shared" si="6"/>
        <v>14</v>
      </c>
      <c r="V28" s="3">
        <f t="shared" si="7"/>
        <v>4.2</v>
      </c>
      <c r="W28" s="3">
        <f t="shared" si="8"/>
        <v>18.2</v>
      </c>
      <c r="X28" s="3" t="str">
        <f t="shared" si="9"/>
        <v/>
      </c>
    </row>
    <row r="29" spans="1:24" ht="15" customHeight="1" x14ac:dyDescent="0.2">
      <c r="A29" s="153">
        <v>8</v>
      </c>
      <c r="B29" s="165" t="s">
        <v>17</v>
      </c>
      <c r="C29" s="166" t="s">
        <v>306</v>
      </c>
      <c r="D29" s="166" t="s">
        <v>317</v>
      </c>
      <c r="E29" s="166" t="s">
        <v>288</v>
      </c>
      <c r="F29" s="166" t="s">
        <v>287</v>
      </c>
      <c r="G29" s="167">
        <v>25.98</v>
      </c>
      <c r="H29" s="167"/>
      <c r="I29" s="167"/>
      <c r="J29" s="153" t="s">
        <v>313</v>
      </c>
      <c r="K29" s="153" t="s">
        <v>168</v>
      </c>
      <c r="L29" s="95">
        <f>VLOOKUP(K29,Reinigungstage!A10:O31,15,FALSE)</f>
        <v>1</v>
      </c>
      <c r="M29" s="95">
        <f t="shared" si="0"/>
        <v>25.98</v>
      </c>
      <c r="N29" s="168">
        <f t="shared" si="1"/>
        <v>0</v>
      </c>
      <c r="O29" s="95">
        <f ca="1">IF('SVS GrundRG'!H61="",0,'SVS GrundRG'!H61)</f>
        <v>0</v>
      </c>
      <c r="P29" s="95">
        <f t="shared" si="2"/>
        <v>0</v>
      </c>
      <c r="Q29" s="95">
        <f t="shared" si="3"/>
        <v>0</v>
      </c>
      <c r="R29" s="95">
        <f t="shared" si="4"/>
        <v>0</v>
      </c>
      <c r="S29" s="3" t="str">
        <f t="shared" si="5"/>
        <v>Leistungswert eintragen</v>
      </c>
      <c r="U29" s="3">
        <f t="shared" si="6"/>
        <v>24</v>
      </c>
      <c r="V29" s="3">
        <f t="shared" si="7"/>
        <v>7.1999999999999993</v>
      </c>
      <c r="W29" s="3">
        <f t="shared" si="8"/>
        <v>31.2</v>
      </c>
      <c r="X29" s="3" t="str">
        <f t="shared" si="9"/>
        <v/>
      </c>
    </row>
    <row r="30" spans="1:24" ht="15" customHeight="1" x14ac:dyDescent="0.2">
      <c r="A30" s="153">
        <v>9</v>
      </c>
      <c r="B30" s="165" t="s">
        <v>17</v>
      </c>
      <c r="C30" s="166" t="s">
        <v>306</v>
      </c>
      <c r="D30" s="166" t="s">
        <v>317</v>
      </c>
      <c r="E30" s="166" t="s">
        <v>323</v>
      </c>
      <c r="F30" s="166" t="s">
        <v>287</v>
      </c>
      <c r="G30" s="167">
        <v>25.87</v>
      </c>
      <c r="H30" s="167"/>
      <c r="I30" s="167"/>
      <c r="J30" s="153" t="s">
        <v>313</v>
      </c>
      <c r="K30" s="153" t="s">
        <v>168</v>
      </c>
      <c r="L30" s="95">
        <f>VLOOKUP(K30,Reinigungstage!A10:O31,15,FALSE)</f>
        <v>1</v>
      </c>
      <c r="M30" s="95">
        <f t="shared" si="0"/>
        <v>25.87</v>
      </c>
      <c r="N30" s="168">
        <f t="shared" si="1"/>
        <v>0</v>
      </c>
      <c r="O30" s="95">
        <f ca="1">IF('SVS GrundRG'!H61="",0,'SVS GrundRG'!H61)</f>
        <v>0</v>
      </c>
      <c r="P30" s="95">
        <f t="shared" si="2"/>
        <v>0</v>
      </c>
      <c r="Q30" s="95">
        <f t="shared" si="3"/>
        <v>0</v>
      </c>
      <c r="R30" s="95">
        <f t="shared" si="4"/>
        <v>0</v>
      </c>
      <c r="S30" s="3" t="str">
        <f t="shared" si="5"/>
        <v>Leistungswert eintragen</v>
      </c>
      <c r="U30" s="3">
        <f t="shared" si="6"/>
        <v>24</v>
      </c>
      <c r="V30" s="3">
        <f t="shared" si="7"/>
        <v>7.1999999999999993</v>
      </c>
      <c r="W30" s="3">
        <f t="shared" si="8"/>
        <v>31.2</v>
      </c>
      <c r="X30" s="3" t="str">
        <f t="shared" si="9"/>
        <v/>
      </c>
    </row>
    <row r="31" spans="1:24" ht="15" customHeight="1" x14ac:dyDescent="0.2">
      <c r="A31" s="153">
        <v>10</v>
      </c>
      <c r="B31" s="165" t="s">
        <v>324</v>
      </c>
      <c r="C31" s="166" t="s">
        <v>306</v>
      </c>
      <c r="D31" s="166" t="s">
        <v>325</v>
      </c>
      <c r="E31" s="166" t="s">
        <v>288</v>
      </c>
      <c r="F31" s="166" t="s">
        <v>287</v>
      </c>
      <c r="G31" s="167">
        <v>49.13</v>
      </c>
      <c r="H31" s="167"/>
      <c r="I31" s="167"/>
      <c r="J31" s="153" t="s">
        <v>313</v>
      </c>
      <c r="K31" s="153" t="s">
        <v>168</v>
      </c>
      <c r="L31" s="95">
        <f>VLOOKUP(K31,Reinigungstage!A10:O31,15,FALSE)</f>
        <v>1</v>
      </c>
      <c r="M31" s="95">
        <f t="shared" si="0"/>
        <v>49.13</v>
      </c>
      <c r="N31" s="168">
        <f t="shared" si="1"/>
        <v>0</v>
      </c>
      <c r="O31" s="95">
        <f ca="1">IF('SVS GrundRG'!H61="",0,'SVS GrundRG'!H61)</f>
        <v>0</v>
      </c>
      <c r="P31" s="95">
        <f t="shared" si="2"/>
        <v>0</v>
      </c>
      <c r="Q31" s="95">
        <f t="shared" si="3"/>
        <v>0</v>
      </c>
      <c r="R31" s="95">
        <f t="shared" si="4"/>
        <v>0</v>
      </c>
      <c r="S31" s="3" t="str">
        <f t="shared" si="5"/>
        <v>Leistungswert eintragen</v>
      </c>
      <c r="U31" s="3">
        <f t="shared" si="6"/>
        <v>24</v>
      </c>
      <c r="V31" s="3">
        <f t="shared" si="7"/>
        <v>7.1999999999999993</v>
      </c>
      <c r="W31" s="3">
        <f t="shared" si="8"/>
        <v>31.2</v>
      </c>
      <c r="X31" s="3" t="str">
        <f t="shared" si="9"/>
        <v/>
      </c>
    </row>
    <row r="32" spans="1:24" ht="15" customHeight="1" x14ac:dyDescent="0.2">
      <c r="A32" s="153">
        <v>11</v>
      </c>
      <c r="B32" s="165"/>
      <c r="C32" s="166" t="s">
        <v>306</v>
      </c>
      <c r="D32" s="166" t="s">
        <v>325</v>
      </c>
      <c r="E32" s="166" t="s">
        <v>304</v>
      </c>
      <c r="F32" s="166" t="s">
        <v>287</v>
      </c>
      <c r="G32" s="167">
        <v>6.5</v>
      </c>
      <c r="H32" s="167"/>
      <c r="I32" s="167"/>
      <c r="J32" s="153" t="s">
        <v>312</v>
      </c>
      <c r="K32" s="153" t="s">
        <v>168</v>
      </c>
      <c r="L32" s="95">
        <f>VLOOKUP(K32,Reinigungstage!A10:O31,15,FALSE)</f>
        <v>1</v>
      </c>
      <c r="M32" s="95">
        <f t="shared" si="0"/>
        <v>6.5</v>
      </c>
      <c r="N32" s="168">
        <f t="shared" si="1"/>
        <v>0</v>
      </c>
      <c r="O32" s="95">
        <f ca="1">IF('SVS GrundRG'!H61="",0,'SVS GrundRG'!H61)</f>
        <v>0</v>
      </c>
      <c r="P32" s="95">
        <f t="shared" si="2"/>
        <v>0</v>
      </c>
      <c r="Q32" s="95">
        <f t="shared" si="3"/>
        <v>0</v>
      </c>
      <c r="R32" s="95">
        <f t="shared" si="4"/>
        <v>0</v>
      </c>
      <c r="S32" s="3" t="str">
        <f t="shared" si="5"/>
        <v>Leistungswert eintragen</v>
      </c>
      <c r="U32" s="3">
        <f t="shared" si="6"/>
        <v>20</v>
      </c>
      <c r="V32" s="3">
        <f t="shared" si="7"/>
        <v>6</v>
      </c>
      <c r="W32" s="3">
        <f t="shared" si="8"/>
        <v>26</v>
      </c>
      <c r="X32" s="3" t="str">
        <f t="shared" si="9"/>
        <v/>
      </c>
    </row>
    <row r="33" spans="1:24" ht="15" customHeight="1" x14ac:dyDescent="0.2">
      <c r="A33" s="153">
        <v>12</v>
      </c>
      <c r="B33" s="165"/>
      <c r="C33" s="166" t="s">
        <v>306</v>
      </c>
      <c r="D33" s="166" t="s">
        <v>325</v>
      </c>
      <c r="E33" s="166" t="s">
        <v>326</v>
      </c>
      <c r="F33" s="166" t="s">
        <v>287</v>
      </c>
      <c r="G33" s="167">
        <v>15.05</v>
      </c>
      <c r="H33" s="167"/>
      <c r="I33" s="167"/>
      <c r="J33" s="153" t="s">
        <v>402</v>
      </c>
      <c r="K33" s="153" t="s">
        <v>168</v>
      </c>
      <c r="L33" s="95">
        <f>VLOOKUP(K33,Reinigungstage!A10:O31,15,FALSE)</f>
        <v>1</v>
      </c>
      <c r="M33" s="95">
        <f t="shared" si="0"/>
        <v>15.05</v>
      </c>
      <c r="N33" s="168">
        <f t="shared" si="1"/>
        <v>0</v>
      </c>
      <c r="O33" s="95">
        <f ca="1">IF('SVS GrundRG'!H61="",0,'SVS GrundRG'!H61)</f>
        <v>0</v>
      </c>
      <c r="P33" s="95">
        <f t="shared" si="2"/>
        <v>0</v>
      </c>
      <c r="Q33" s="95">
        <f t="shared" si="3"/>
        <v>0</v>
      </c>
      <c r="R33" s="95">
        <f t="shared" si="4"/>
        <v>0</v>
      </c>
      <c r="S33" s="3" t="str">
        <f t="shared" si="5"/>
        <v>Leistungswert eintragen</v>
      </c>
      <c r="U33" s="3">
        <f t="shared" si="6"/>
        <v>13</v>
      </c>
      <c r="V33" s="3">
        <f t="shared" si="7"/>
        <v>3.9</v>
      </c>
      <c r="W33" s="3">
        <f t="shared" si="8"/>
        <v>16.899999999999999</v>
      </c>
      <c r="X33" s="3" t="str">
        <f t="shared" si="9"/>
        <v/>
      </c>
    </row>
    <row r="34" spans="1:24" ht="15" customHeight="1" x14ac:dyDescent="0.2">
      <c r="A34" s="153">
        <v>13</v>
      </c>
      <c r="B34" s="165"/>
      <c r="C34" s="166" t="s">
        <v>306</v>
      </c>
      <c r="D34" s="166" t="s">
        <v>325</v>
      </c>
      <c r="E34" s="166" t="s">
        <v>327</v>
      </c>
      <c r="F34" s="166" t="s">
        <v>287</v>
      </c>
      <c r="G34" s="167">
        <v>51.5</v>
      </c>
      <c r="H34" s="167"/>
      <c r="I34" s="167"/>
      <c r="J34" s="153" t="s">
        <v>313</v>
      </c>
      <c r="K34" s="153" t="s">
        <v>168</v>
      </c>
      <c r="L34" s="95">
        <f>VLOOKUP(K34,Reinigungstage!A10:O31,15,FALSE)</f>
        <v>1</v>
      </c>
      <c r="M34" s="95">
        <f t="shared" si="0"/>
        <v>51.5</v>
      </c>
      <c r="N34" s="168">
        <f t="shared" si="1"/>
        <v>0</v>
      </c>
      <c r="O34" s="95">
        <f ca="1">IF('SVS GrundRG'!H61="",0,'SVS GrundRG'!H61)</f>
        <v>0</v>
      </c>
      <c r="P34" s="95">
        <f t="shared" si="2"/>
        <v>0</v>
      </c>
      <c r="Q34" s="95">
        <f t="shared" si="3"/>
        <v>0</v>
      </c>
      <c r="R34" s="95">
        <f t="shared" si="4"/>
        <v>0</v>
      </c>
      <c r="S34" s="3" t="str">
        <f t="shared" si="5"/>
        <v>Leistungswert eintragen</v>
      </c>
      <c r="U34" s="3">
        <f t="shared" si="6"/>
        <v>24</v>
      </c>
      <c r="V34" s="3">
        <f t="shared" si="7"/>
        <v>7.1999999999999993</v>
      </c>
      <c r="W34" s="3">
        <f t="shared" si="8"/>
        <v>31.2</v>
      </c>
      <c r="X34" s="3" t="str">
        <f t="shared" si="9"/>
        <v/>
      </c>
    </row>
    <row r="35" spans="1:24" ht="15" customHeight="1" x14ac:dyDescent="0.2">
      <c r="A35" s="153">
        <v>14</v>
      </c>
      <c r="B35" s="165"/>
      <c r="C35" s="166" t="s">
        <v>306</v>
      </c>
      <c r="D35" s="166" t="s">
        <v>325</v>
      </c>
      <c r="E35" s="166" t="s">
        <v>291</v>
      </c>
      <c r="F35" s="166" t="s">
        <v>287</v>
      </c>
      <c r="G35" s="167">
        <v>16.34</v>
      </c>
      <c r="H35" s="167"/>
      <c r="I35" s="167"/>
      <c r="J35" s="153" t="s">
        <v>291</v>
      </c>
      <c r="K35" s="153" t="s">
        <v>168</v>
      </c>
      <c r="L35" s="95">
        <f>VLOOKUP(K35,Reinigungstage!A10:O31,15,FALSE)</f>
        <v>1</v>
      </c>
      <c r="M35" s="95">
        <f t="shared" si="0"/>
        <v>16.34</v>
      </c>
      <c r="N35" s="168">
        <f t="shared" si="1"/>
        <v>0</v>
      </c>
      <c r="O35" s="95">
        <f ca="1">IF('SVS GrundRG'!H61="",0,'SVS GrundRG'!H61)</f>
        <v>0</v>
      </c>
      <c r="P35" s="95">
        <f t="shared" si="2"/>
        <v>0</v>
      </c>
      <c r="Q35" s="95">
        <f t="shared" si="3"/>
        <v>0</v>
      </c>
      <c r="R35" s="95">
        <f t="shared" si="4"/>
        <v>0</v>
      </c>
      <c r="S35" s="3" t="str">
        <f t="shared" si="5"/>
        <v>Leistungswert eintragen</v>
      </c>
      <c r="U35" s="3">
        <f t="shared" si="6"/>
        <v>16.5</v>
      </c>
      <c r="V35" s="3">
        <f t="shared" si="7"/>
        <v>4.95</v>
      </c>
      <c r="W35" s="3">
        <f t="shared" si="8"/>
        <v>21.45</v>
      </c>
      <c r="X35" s="3" t="str">
        <f t="shared" si="9"/>
        <v/>
      </c>
    </row>
    <row r="36" spans="1:24" ht="15" customHeight="1" x14ac:dyDescent="0.2">
      <c r="A36" s="153">
        <v>15</v>
      </c>
      <c r="B36" s="165" t="s">
        <v>328</v>
      </c>
      <c r="C36" s="166" t="s">
        <v>306</v>
      </c>
      <c r="D36" s="166" t="s">
        <v>325</v>
      </c>
      <c r="E36" s="166" t="s">
        <v>329</v>
      </c>
      <c r="F36" s="166" t="s">
        <v>330</v>
      </c>
      <c r="G36" s="167">
        <v>48.6</v>
      </c>
      <c r="H36" s="167"/>
      <c r="I36" s="167">
        <v>1</v>
      </c>
      <c r="J36" s="153" t="s">
        <v>403</v>
      </c>
      <c r="K36" s="153" t="s">
        <v>168</v>
      </c>
      <c r="L36" s="95">
        <f>VLOOKUP(K36,Reinigungstage!A10:O31,15,FALSE)</f>
        <v>1</v>
      </c>
      <c r="M36" s="95">
        <f t="shared" si="0"/>
        <v>48.6</v>
      </c>
      <c r="N36" s="168">
        <f t="shared" si="1"/>
        <v>0</v>
      </c>
      <c r="O36" s="95">
        <f ca="1">IF('SVS GrundRG'!H61="",0,'SVS GrundRG'!H61)</f>
        <v>0</v>
      </c>
      <c r="P36" s="95">
        <f t="shared" si="2"/>
        <v>0</v>
      </c>
      <c r="Q36" s="95">
        <f t="shared" si="3"/>
        <v>0</v>
      </c>
      <c r="R36" s="95">
        <f t="shared" si="4"/>
        <v>0</v>
      </c>
      <c r="S36" s="3" t="str">
        <f t="shared" si="5"/>
        <v>Leistungswert eintragen</v>
      </c>
      <c r="U36" s="3">
        <f t="shared" si="6"/>
        <v>15</v>
      </c>
      <c r="V36" s="3">
        <f t="shared" si="7"/>
        <v>4.5</v>
      </c>
      <c r="W36" s="3">
        <f t="shared" si="8"/>
        <v>19.5</v>
      </c>
      <c r="X36" s="3" t="str">
        <f t="shared" si="9"/>
        <v/>
      </c>
    </row>
    <row r="37" spans="1:24" ht="15" customHeight="1" x14ac:dyDescent="0.2">
      <c r="A37" s="153">
        <v>16</v>
      </c>
      <c r="B37" s="165" t="s">
        <v>331</v>
      </c>
      <c r="C37" s="166" t="s">
        <v>306</v>
      </c>
      <c r="D37" s="166" t="s">
        <v>325</v>
      </c>
      <c r="E37" s="166" t="s">
        <v>329</v>
      </c>
      <c r="F37" s="166" t="s">
        <v>287</v>
      </c>
      <c r="G37" s="167">
        <v>48.57</v>
      </c>
      <c r="H37" s="167">
        <v>11.67</v>
      </c>
      <c r="I37" s="167"/>
      <c r="J37" s="153" t="s">
        <v>403</v>
      </c>
      <c r="K37" s="153" t="s">
        <v>168</v>
      </c>
      <c r="L37" s="95">
        <f>VLOOKUP(K37,Reinigungstage!A10:O31,15,FALSE)</f>
        <v>1</v>
      </c>
      <c r="M37" s="95">
        <f t="shared" si="0"/>
        <v>48.57</v>
      </c>
      <c r="N37" s="168">
        <f t="shared" si="1"/>
        <v>0</v>
      </c>
      <c r="O37" s="95">
        <f ca="1">IF('SVS GrundRG'!H61="",0,'SVS GrundRG'!H61)</f>
        <v>0</v>
      </c>
      <c r="P37" s="95">
        <f t="shared" si="2"/>
        <v>0</v>
      </c>
      <c r="Q37" s="95">
        <f t="shared" si="3"/>
        <v>0</v>
      </c>
      <c r="R37" s="95">
        <f t="shared" si="4"/>
        <v>0</v>
      </c>
      <c r="S37" s="3" t="str">
        <f t="shared" si="5"/>
        <v>Leistungswert eintragen</v>
      </c>
      <c r="U37" s="3">
        <f t="shared" si="6"/>
        <v>15</v>
      </c>
      <c r="V37" s="3">
        <f t="shared" si="7"/>
        <v>4.5</v>
      </c>
      <c r="W37" s="3">
        <f t="shared" si="8"/>
        <v>19.5</v>
      </c>
      <c r="X37" s="3" t="str">
        <f t="shared" si="9"/>
        <v/>
      </c>
    </row>
    <row r="38" spans="1:24" ht="15" customHeight="1" x14ac:dyDescent="0.2">
      <c r="A38" s="153">
        <v>17</v>
      </c>
      <c r="B38" s="165" t="s">
        <v>332</v>
      </c>
      <c r="C38" s="166" t="s">
        <v>306</v>
      </c>
      <c r="D38" s="166" t="s">
        <v>325</v>
      </c>
      <c r="E38" s="166" t="s">
        <v>329</v>
      </c>
      <c r="F38" s="166" t="s">
        <v>287</v>
      </c>
      <c r="G38" s="167">
        <v>47.92</v>
      </c>
      <c r="H38" s="167">
        <v>7.72</v>
      </c>
      <c r="I38" s="167"/>
      <c r="J38" s="153" t="s">
        <v>403</v>
      </c>
      <c r="K38" s="153" t="s">
        <v>168</v>
      </c>
      <c r="L38" s="95">
        <f>VLOOKUP(K38,Reinigungstage!A10:O31,15,FALSE)</f>
        <v>1</v>
      </c>
      <c r="M38" s="95">
        <f t="shared" si="0"/>
        <v>47.92</v>
      </c>
      <c r="N38" s="168">
        <f t="shared" si="1"/>
        <v>0</v>
      </c>
      <c r="O38" s="95">
        <f ca="1">IF('SVS GrundRG'!H61="",0,'SVS GrundRG'!H61)</f>
        <v>0</v>
      </c>
      <c r="P38" s="95">
        <f t="shared" si="2"/>
        <v>0</v>
      </c>
      <c r="Q38" s="95">
        <f t="shared" si="3"/>
        <v>0</v>
      </c>
      <c r="R38" s="95">
        <f t="shared" si="4"/>
        <v>0</v>
      </c>
      <c r="S38" s="3" t="str">
        <f t="shared" si="5"/>
        <v>Leistungswert eintragen</v>
      </c>
      <c r="U38" s="3">
        <f t="shared" si="6"/>
        <v>15</v>
      </c>
      <c r="V38" s="3">
        <f t="shared" si="7"/>
        <v>4.5</v>
      </c>
      <c r="W38" s="3">
        <f t="shared" si="8"/>
        <v>19.5</v>
      </c>
      <c r="X38" s="3" t="str">
        <f t="shared" si="9"/>
        <v/>
      </c>
    </row>
    <row r="39" spans="1:24" ht="15" customHeight="1" x14ac:dyDescent="0.2">
      <c r="A39" s="153">
        <v>18</v>
      </c>
      <c r="B39" s="165"/>
      <c r="C39" s="166" t="s">
        <v>306</v>
      </c>
      <c r="D39" s="166" t="s">
        <v>325</v>
      </c>
      <c r="E39" s="166" t="s">
        <v>333</v>
      </c>
      <c r="F39" s="166" t="s">
        <v>334</v>
      </c>
      <c r="G39" s="167">
        <v>6.79</v>
      </c>
      <c r="H39" s="167"/>
      <c r="I39" s="167"/>
      <c r="J39" s="153" t="s">
        <v>310</v>
      </c>
      <c r="K39" s="153" t="s">
        <v>168</v>
      </c>
      <c r="L39" s="95">
        <f>VLOOKUP(K39,Reinigungstage!A10:O31,15,FALSE)</f>
        <v>1</v>
      </c>
      <c r="M39" s="95">
        <f t="shared" si="0"/>
        <v>6.79</v>
      </c>
      <c r="N39" s="168">
        <f t="shared" si="1"/>
        <v>0</v>
      </c>
      <c r="O39" s="95">
        <f ca="1">IF('SVS GrundRG'!H61="",0,'SVS GrundRG'!H61)</f>
        <v>0</v>
      </c>
      <c r="P39" s="95">
        <f t="shared" si="2"/>
        <v>0</v>
      </c>
      <c r="Q39" s="95">
        <f t="shared" si="3"/>
        <v>0</v>
      </c>
      <c r="R39" s="95">
        <f t="shared" si="4"/>
        <v>0</v>
      </c>
      <c r="S39" s="3" t="str">
        <f t="shared" si="5"/>
        <v>Leistungswert eintragen</v>
      </c>
      <c r="U39" s="3">
        <f t="shared" si="6"/>
        <v>14</v>
      </c>
      <c r="V39" s="3">
        <f t="shared" si="7"/>
        <v>4.2</v>
      </c>
      <c r="W39" s="3">
        <f t="shared" si="8"/>
        <v>18.2</v>
      </c>
      <c r="X39" s="3" t="str">
        <f t="shared" si="9"/>
        <v/>
      </c>
    </row>
    <row r="40" spans="1:24" ht="15" customHeight="1" x14ac:dyDescent="0.2">
      <c r="A40" s="153">
        <v>19</v>
      </c>
      <c r="B40" s="165"/>
      <c r="C40" s="166" t="s">
        <v>306</v>
      </c>
      <c r="D40" s="166" t="s">
        <v>325</v>
      </c>
      <c r="E40" s="166" t="s">
        <v>310</v>
      </c>
      <c r="F40" s="166" t="s">
        <v>293</v>
      </c>
      <c r="G40" s="167">
        <v>4.96</v>
      </c>
      <c r="H40" s="167"/>
      <c r="I40" s="167"/>
      <c r="J40" s="153" t="s">
        <v>310</v>
      </c>
      <c r="K40" s="153" t="s">
        <v>168</v>
      </c>
      <c r="L40" s="95">
        <f>VLOOKUP(K40,Reinigungstage!A10:O31,15,FALSE)</f>
        <v>1</v>
      </c>
      <c r="M40" s="95">
        <f t="shared" si="0"/>
        <v>4.96</v>
      </c>
      <c r="N40" s="168">
        <f t="shared" si="1"/>
        <v>0</v>
      </c>
      <c r="O40" s="95">
        <f ca="1">IF('SVS GrundRG'!H61="",0,'SVS GrundRG'!H61)</f>
        <v>0</v>
      </c>
      <c r="P40" s="95">
        <f t="shared" si="2"/>
        <v>0</v>
      </c>
      <c r="Q40" s="95">
        <f t="shared" si="3"/>
        <v>0</v>
      </c>
      <c r="R40" s="95">
        <f t="shared" si="4"/>
        <v>0</v>
      </c>
      <c r="S40" s="3" t="str">
        <f t="shared" si="5"/>
        <v>Leistungswert eintragen</v>
      </c>
      <c r="U40" s="3">
        <f t="shared" si="6"/>
        <v>14</v>
      </c>
      <c r="V40" s="3">
        <f t="shared" si="7"/>
        <v>4.2</v>
      </c>
      <c r="W40" s="3">
        <f t="shared" si="8"/>
        <v>18.2</v>
      </c>
      <c r="X40" s="3" t="str">
        <f t="shared" si="9"/>
        <v/>
      </c>
    </row>
    <row r="41" spans="1:24" ht="15" customHeight="1" x14ac:dyDescent="0.2">
      <c r="A41" s="153">
        <v>20</v>
      </c>
      <c r="B41" s="165"/>
      <c r="C41" s="166" t="s">
        <v>306</v>
      </c>
      <c r="D41" s="166" t="s">
        <v>335</v>
      </c>
      <c r="E41" s="166" t="s">
        <v>336</v>
      </c>
      <c r="F41" s="166" t="s">
        <v>287</v>
      </c>
      <c r="G41" s="167">
        <v>18.989999999999998</v>
      </c>
      <c r="H41" s="167"/>
      <c r="I41" s="167"/>
      <c r="J41" s="153" t="s">
        <v>313</v>
      </c>
      <c r="K41" s="153" t="s">
        <v>168</v>
      </c>
      <c r="L41" s="95">
        <f>VLOOKUP(K41,Reinigungstage!A10:O31,15,FALSE)</f>
        <v>1</v>
      </c>
      <c r="M41" s="95">
        <f t="shared" si="0"/>
        <v>18.989999999999998</v>
      </c>
      <c r="N41" s="168">
        <f t="shared" si="1"/>
        <v>0</v>
      </c>
      <c r="O41" s="95">
        <f ca="1">IF('SVS GrundRG'!H61="",0,'SVS GrundRG'!H61)</f>
        <v>0</v>
      </c>
      <c r="P41" s="95">
        <f t="shared" si="2"/>
        <v>0</v>
      </c>
      <c r="Q41" s="95">
        <f t="shared" si="3"/>
        <v>0</v>
      </c>
      <c r="R41" s="95">
        <f t="shared" si="4"/>
        <v>0</v>
      </c>
      <c r="S41" s="3" t="str">
        <f t="shared" si="5"/>
        <v>Leistungswert eintragen</v>
      </c>
      <c r="U41" s="3">
        <f t="shared" si="6"/>
        <v>24</v>
      </c>
      <c r="V41" s="3">
        <f t="shared" si="7"/>
        <v>7.1999999999999993</v>
      </c>
      <c r="W41" s="3">
        <f t="shared" si="8"/>
        <v>31.2</v>
      </c>
      <c r="X41" s="3" t="str">
        <f t="shared" si="9"/>
        <v/>
      </c>
    </row>
    <row r="42" spans="1:24" ht="15" customHeight="1" x14ac:dyDescent="0.2">
      <c r="A42" s="153">
        <v>21</v>
      </c>
      <c r="B42" s="165"/>
      <c r="C42" s="166" t="s">
        <v>306</v>
      </c>
      <c r="D42" s="166" t="s">
        <v>335</v>
      </c>
      <c r="E42" s="166" t="s">
        <v>288</v>
      </c>
      <c r="F42" s="166" t="s">
        <v>287</v>
      </c>
      <c r="G42" s="167">
        <v>29.55</v>
      </c>
      <c r="H42" s="167"/>
      <c r="I42" s="167"/>
      <c r="J42" s="153" t="s">
        <v>313</v>
      </c>
      <c r="K42" s="153" t="s">
        <v>168</v>
      </c>
      <c r="L42" s="95">
        <f>VLOOKUP(K42,Reinigungstage!A10:O31,15,FALSE)</f>
        <v>1</v>
      </c>
      <c r="M42" s="95">
        <f t="shared" si="0"/>
        <v>29.55</v>
      </c>
      <c r="N42" s="168">
        <f t="shared" si="1"/>
        <v>0</v>
      </c>
      <c r="O42" s="95">
        <f ca="1">IF('SVS GrundRG'!H61="",0,'SVS GrundRG'!H61)</f>
        <v>0</v>
      </c>
      <c r="P42" s="95">
        <f t="shared" si="2"/>
        <v>0</v>
      </c>
      <c r="Q42" s="95">
        <f t="shared" si="3"/>
        <v>0</v>
      </c>
      <c r="R42" s="95">
        <f t="shared" si="4"/>
        <v>0</v>
      </c>
      <c r="S42" s="3" t="str">
        <f t="shared" si="5"/>
        <v>Leistungswert eintragen</v>
      </c>
      <c r="U42" s="3">
        <f t="shared" si="6"/>
        <v>24</v>
      </c>
      <c r="V42" s="3">
        <f t="shared" si="7"/>
        <v>7.1999999999999993</v>
      </c>
      <c r="W42" s="3">
        <f t="shared" si="8"/>
        <v>31.2</v>
      </c>
      <c r="X42" s="3" t="str">
        <f t="shared" si="9"/>
        <v/>
      </c>
    </row>
    <row r="43" spans="1:24" ht="15" customHeight="1" x14ac:dyDescent="0.2">
      <c r="A43" s="153">
        <v>22</v>
      </c>
      <c r="B43" s="165" t="s">
        <v>22</v>
      </c>
      <c r="C43" s="166" t="s">
        <v>306</v>
      </c>
      <c r="D43" s="166" t="s">
        <v>335</v>
      </c>
      <c r="E43" s="166" t="s">
        <v>337</v>
      </c>
      <c r="F43" s="166" t="s">
        <v>287</v>
      </c>
      <c r="G43" s="167">
        <v>49.32</v>
      </c>
      <c r="H43" s="167"/>
      <c r="I43" s="167"/>
      <c r="J43" s="153" t="s">
        <v>401</v>
      </c>
      <c r="K43" s="153" t="s">
        <v>168</v>
      </c>
      <c r="L43" s="95">
        <f>VLOOKUP(K43,Reinigungstage!A10:O31,15,FALSE)</f>
        <v>1</v>
      </c>
      <c r="M43" s="95">
        <f t="shared" si="0"/>
        <v>49.32</v>
      </c>
      <c r="N43" s="168">
        <f t="shared" si="1"/>
        <v>0</v>
      </c>
      <c r="O43" s="95">
        <f ca="1">IF('SVS GrundRG'!H61="",0,'SVS GrundRG'!H61)</f>
        <v>0</v>
      </c>
      <c r="P43" s="95">
        <f t="shared" si="2"/>
        <v>0</v>
      </c>
      <c r="Q43" s="95">
        <f t="shared" si="3"/>
        <v>0</v>
      </c>
      <c r="R43" s="95">
        <f t="shared" si="4"/>
        <v>0</v>
      </c>
      <c r="S43" s="3" t="str">
        <f t="shared" si="5"/>
        <v>Leistungswert eintragen</v>
      </c>
      <c r="U43" s="3">
        <f t="shared" si="6"/>
        <v>14</v>
      </c>
      <c r="V43" s="3">
        <f t="shared" si="7"/>
        <v>4.2</v>
      </c>
      <c r="W43" s="3">
        <f t="shared" si="8"/>
        <v>18.2</v>
      </c>
      <c r="X43" s="3" t="str">
        <f t="shared" si="9"/>
        <v/>
      </c>
    </row>
    <row r="44" spans="1:24" ht="15" customHeight="1" x14ac:dyDescent="0.2">
      <c r="A44" s="153">
        <v>23</v>
      </c>
      <c r="B44" s="165" t="s">
        <v>20</v>
      </c>
      <c r="C44" s="166" t="s">
        <v>306</v>
      </c>
      <c r="D44" s="166" t="s">
        <v>335</v>
      </c>
      <c r="E44" s="166" t="s">
        <v>338</v>
      </c>
      <c r="F44" s="166" t="s">
        <v>330</v>
      </c>
      <c r="G44" s="167">
        <v>49.02</v>
      </c>
      <c r="H44" s="167"/>
      <c r="I44" s="167"/>
      <c r="J44" s="153" t="s">
        <v>315</v>
      </c>
      <c r="K44" s="153" t="s">
        <v>168</v>
      </c>
      <c r="L44" s="95">
        <f>VLOOKUP(K44,Reinigungstage!A10:O31,15,FALSE)</f>
        <v>1</v>
      </c>
      <c r="M44" s="95">
        <f t="shared" si="0"/>
        <v>49.02</v>
      </c>
      <c r="N44" s="168">
        <f t="shared" si="1"/>
        <v>0</v>
      </c>
      <c r="O44" s="95">
        <f ca="1">IF('SVS GrundRG'!H61="",0,'SVS GrundRG'!H61)</f>
        <v>0</v>
      </c>
      <c r="P44" s="95">
        <f t="shared" si="2"/>
        <v>0</v>
      </c>
      <c r="Q44" s="95">
        <f t="shared" si="3"/>
        <v>0</v>
      </c>
      <c r="R44" s="95">
        <f t="shared" si="4"/>
        <v>0</v>
      </c>
      <c r="S44" s="3" t="str">
        <f t="shared" si="5"/>
        <v>Leistungswert eintragen</v>
      </c>
      <c r="U44" s="3">
        <f t="shared" si="6"/>
        <v>15</v>
      </c>
      <c r="V44" s="3">
        <f t="shared" si="7"/>
        <v>4.5</v>
      </c>
      <c r="W44" s="3">
        <f t="shared" si="8"/>
        <v>19.5</v>
      </c>
      <c r="X44" s="3" t="str">
        <f t="shared" si="9"/>
        <v/>
      </c>
    </row>
    <row r="45" spans="1:24" ht="15" customHeight="1" x14ac:dyDescent="0.2">
      <c r="A45" s="153">
        <v>24</v>
      </c>
      <c r="B45" s="165"/>
      <c r="C45" s="166" t="s">
        <v>306</v>
      </c>
      <c r="D45" s="166" t="s">
        <v>335</v>
      </c>
      <c r="E45" s="166" t="s">
        <v>339</v>
      </c>
      <c r="F45" s="166" t="s">
        <v>287</v>
      </c>
      <c r="G45" s="167">
        <v>9.8000000000000007</v>
      </c>
      <c r="H45" s="167"/>
      <c r="I45" s="167"/>
      <c r="J45" s="153" t="s">
        <v>312</v>
      </c>
      <c r="K45" s="153" t="s">
        <v>168</v>
      </c>
      <c r="L45" s="95">
        <f>VLOOKUP(K45,Reinigungstage!A10:O31,15,FALSE)</f>
        <v>1</v>
      </c>
      <c r="M45" s="95">
        <f t="shared" si="0"/>
        <v>9.8000000000000007</v>
      </c>
      <c r="N45" s="168">
        <f t="shared" si="1"/>
        <v>0</v>
      </c>
      <c r="O45" s="95">
        <f ca="1">IF('SVS GrundRG'!H61="",0,'SVS GrundRG'!H61)</f>
        <v>0</v>
      </c>
      <c r="P45" s="95">
        <f t="shared" si="2"/>
        <v>0</v>
      </c>
      <c r="Q45" s="95">
        <f t="shared" si="3"/>
        <v>0</v>
      </c>
      <c r="R45" s="95">
        <f t="shared" si="4"/>
        <v>0</v>
      </c>
      <c r="S45" s="3" t="str">
        <f t="shared" si="5"/>
        <v>Leistungswert eintragen</v>
      </c>
      <c r="U45" s="3">
        <f t="shared" si="6"/>
        <v>20</v>
      </c>
      <c r="V45" s="3">
        <f t="shared" si="7"/>
        <v>6</v>
      </c>
      <c r="W45" s="3">
        <f t="shared" si="8"/>
        <v>26</v>
      </c>
      <c r="X45" s="3" t="str">
        <f t="shared" si="9"/>
        <v/>
      </c>
    </row>
    <row r="46" spans="1:24" ht="15" customHeight="1" x14ac:dyDescent="0.2">
      <c r="A46" s="153">
        <v>25</v>
      </c>
      <c r="B46" s="165" t="s">
        <v>24</v>
      </c>
      <c r="C46" s="166" t="s">
        <v>306</v>
      </c>
      <c r="D46" s="166" t="s">
        <v>335</v>
      </c>
      <c r="E46" s="166" t="s">
        <v>340</v>
      </c>
      <c r="F46" s="166" t="s">
        <v>287</v>
      </c>
      <c r="G46" s="167">
        <v>32.26</v>
      </c>
      <c r="H46" s="167"/>
      <c r="I46" s="167"/>
      <c r="J46" s="153" t="s">
        <v>402</v>
      </c>
      <c r="K46" s="153" t="s">
        <v>168</v>
      </c>
      <c r="L46" s="95">
        <f>VLOOKUP(K46,Reinigungstage!A10:O31,15,FALSE)</f>
        <v>1</v>
      </c>
      <c r="M46" s="95">
        <f t="shared" si="0"/>
        <v>32.26</v>
      </c>
      <c r="N46" s="168">
        <f t="shared" si="1"/>
        <v>0</v>
      </c>
      <c r="O46" s="95">
        <f ca="1">IF('SVS GrundRG'!H61="",0,'SVS GrundRG'!H61)</f>
        <v>0</v>
      </c>
      <c r="P46" s="95">
        <f t="shared" si="2"/>
        <v>0</v>
      </c>
      <c r="Q46" s="95">
        <f t="shared" si="3"/>
        <v>0</v>
      </c>
      <c r="R46" s="95">
        <f t="shared" si="4"/>
        <v>0</v>
      </c>
      <c r="S46" s="3" t="str">
        <f t="shared" si="5"/>
        <v>Leistungswert eintragen</v>
      </c>
      <c r="U46" s="3">
        <f t="shared" si="6"/>
        <v>13</v>
      </c>
      <c r="V46" s="3">
        <f t="shared" si="7"/>
        <v>3.9</v>
      </c>
      <c r="W46" s="3">
        <f t="shared" si="8"/>
        <v>16.899999999999999</v>
      </c>
      <c r="X46" s="3" t="str">
        <f t="shared" si="9"/>
        <v/>
      </c>
    </row>
    <row r="47" spans="1:24" ht="15" customHeight="1" x14ac:dyDescent="0.2">
      <c r="A47" s="153">
        <v>26</v>
      </c>
      <c r="B47" s="165" t="s">
        <v>341</v>
      </c>
      <c r="C47" s="166" t="s">
        <v>306</v>
      </c>
      <c r="D47" s="166" t="s">
        <v>335</v>
      </c>
      <c r="E47" s="166" t="s">
        <v>321</v>
      </c>
      <c r="F47" s="166" t="s">
        <v>287</v>
      </c>
      <c r="G47" s="167">
        <v>15.57</v>
      </c>
      <c r="H47" s="167"/>
      <c r="I47" s="167"/>
      <c r="J47" s="153" t="s">
        <v>401</v>
      </c>
      <c r="K47" s="153" t="s">
        <v>168</v>
      </c>
      <c r="L47" s="95">
        <f>VLOOKUP(K47,Reinigungstage!A10:O31,15,FALSE)</f>
        <v>1</v>
      </c>
      <c r="M47" s="95">
        <f t="shared" si="0"/>
        <v>15.57</v>
      </c>
      <c r="N47" s="168">
        <f t="shared" si="1"/>
        <v>0</v>
      </c>
      <c r="O47" s="95">
        <f ca="1">IF('SVS GrundRG'!H61="",0,'SVS GrundRG'!H61)</f>
        <v>0</v>
      </c>
      <c r="P47" s="95">
        <f t="shared" si="2"/>
        <v>0</v>
      </c>
      <c r="Q47" s="95">
        <f t="shared" si="3"/>
        <v>0</v>
      </c>
      <c r="R47" s="95">
        <f t="shared" si="4"/>
        <v>0</v>
      </c>
      <c r="S47" s="3" t="str">
        <f t="shared" si="5"/>
        <v>Leistungswert eintragen</v>
      </c>
      <c r="U47" s="3">
        <f t="shared" si="6"/>
        <v>14</v>
      </c>
      <c r="V47" s="3">
        <f t="shared" si="7"/>
        <v>4.2</v>
      </c>
      <c r="W47" s="3">
        <f t="shared" si="8"/>
        <v>18.2</v>
      </c>
      <c r="X47" s="3" t="str">
        <f t="shared" si="9"/>
        <v/>
      </c>
    </row>
    <row r="48" spans="1:24" ht="15" customHeight="1" x14ac:dyDescent="0.2">
      <c r="A48" s="153">
        <v>27</v>
      </c>
      <c r="B48" s="165" t="s">
        <v>342</v>
      </c>
      <c r="C48" s="166" t="s">
        <v>306</v>
      </c>
      <c r="D48" s="166" t="s">
        <v>335</v>
      </c>
      <c r="E48" s="166" t="s">
        <v>343</v>
      </c>
      <c r="F48" s="166" t="s">
        <v>287</v>
      </c>
      <c r="G48" s="167">
        <v>34.36</v>
      </c>
      <c r="H48" s="167"/>
      <c r="I48" s="167"/>
      <c r="J48" s="153" t="s">
        <v>401</v>
      </c>
      <c r="K48" s="153" t="s">
        <v>168</v>
      </c>
      <c r="L48" s="95">
        <f>VLOOKUP(K48,Reinigungstage!A10:O31,15,FALSE)</f>
        <v>1</v>
      </c>
      <c r="M48" s="95">
        <f t="shared" si="0"/>
        <v>34.36</v>
      </c>
      <c r="N48" s="168">
        <f t="shared" si="1"/>
        <v>0</v>
      </c>
      <c r="O48" s="95">
        <f ca="1">IF('SVS GrundRG'!H61="",0,'SVS GrundRG'!H61)</f>
        <v>0</v>
      </c>
      <c r="P48" s="95">
        <f t="shared" si="2"/>
        <v>0</v>
      </c>
      <c r="Q48" s="95">
        <f t="shared" si="3"/>
        <v>0</v>
      </c>
      <c r="R48" s="95">
        <f t="shared" si="4"/>
        <v>0</v>
      </c>
      <c r="S48" s="3" t="str">
        <f t="shared" si="5"/>
        <v>Leistungswert eintragen</v>
      </c>
      <c r="U48" s="3">
        <f t="shared" si="6"/>
        <v>14</v>
      </c>
      <c r="V48" s="3">
        <f t="shared" si="7"/>
        <v>4.2</v>
      </c>
      <c r="W48" s="3">
        <f t="shared" si="8"/>
        <v>18.2</v>
      </c>
      <c r="X48" s="3" t="str">
        <f t="shared" si="9"/>
        <v/>
      </c>
    </row>
    <row r="49" spans="1:24" ht="15" customHeight="1" x14ac:dyDescent="0.2">
      <c r="A49" s="153">
        <v>28</v>
      </c>
      <c r="B49" s="165"/>
      <c r="C49" s="166" t="s">
        <v>306</v>
      </c>
      <c r="D49" s="166" t="s">
        <v>335</v>
      </c>
      <c r="E49" s="166" t="s">
        <v>288</v>
      </c>
      <c r="F49" s="166" t="s">
        <v>334</v>
      </c>
      <c r="G49" s="167">
        <v>5.4</v>
      </c>
      <c r="H49" s="167"/>
      <c r="I49" s="167"/>
      <c r="J49" s="153" t="s">
        <v>313</v>
      </c>
      <c r="K49" s="153" t="s">
        <v>168</v>
      </c>
      <c r="L49" s="95">
        <f>VLOOKUP(K49,Reinigungstage!A10:O31,15,FALSE)</f>
        <v>1</v>
      </c>
      <c r="M49" s="95">
        <f t="shared" si="0"/>
        <v>5.4</v>
      </c>
      <c r="N49" s="168">
        <f t="shared" si="1"/>
        <v>0</v>
      </c>
      <c r="O49" s="95">
        <f ca="1">IF('SVS GrundRG'!H61="",0,'SVS GrundRG'!H61)</f>
        <v>0</v>
      </c>
      <c r="P49" s="95">
        <f t="shared" si="2"/>
        <v>0</v>
      </c>
      <c r="Q49" s="95">
        <f t="shared" si="3"/>
        <v>0</v>
      </c>
      <c r="R49" s="95">
        <f t="shared" si="4"/>
        <v>0</v>
      </c>
      <c r="S49" s="3" t="str">
        <f t="shared" si="5"/>
        <v>Leistungswert eintragen</v>
      </c>
      <c r="U49" s="3">
        <f t="shared" si="6"/>
        <v>24</v>
      </c>
      <c r="V49" s="3">
        <f t="shared" si="7"/>
        <v>7.1999999999999993</v>
      </c>
      <c r="W49" s="3">
        <f t="shared" si="8"/>
        <v>31.2</v>
      </c>
      <c r="X49" s="3" t="str">
        <f t="shared" si="9"/>
        <v/>
      </c>
    </row>
    <row r="50" spans="1:24" ht="15" customHeight="1" x14ac:dyDescent="0.2">
      <c r="A50" s="153">
        <v>29</v>
      </c>
      <c r="B50" s="165"/>
      <c r="C50" s="166" t="s">
        <v>306</v>
      </c>
      <c r="D50" s="166" t="s">
        <v>335</v>
      </c>
      <c r="E50" s="166" t="s">
        <v>310</v>
      </c>
      <c r="F50" s="166" t="s">
        <v>334</v>
      </c>
      <c r="G50" s="167">
        <v>2.29</v>
      </c>
      <c r="H50" s="167"/>
      <c r="I50" s="167"/>
      <c r="J50" s="153" t="s">
        <v>310</v>
      </c>
      <c r="K50" s="153" t="s">
        <v>168</v>
      </c>
      <c r="L50" s="95">
        <f>VLOOKUP(K50,Reinigungstage!A10:O31,15,FALSE)</f>
        <v>1</v>
      </c>
      <c r="M50" s="95">
        <f t="shared" si="0"/>
        <v>2.29</v>
      </c>
      <c r="N50" s="168">
        <f t="shared" si="1"/>
        <v>0</v>
      </c>
      <c r="O50" s="95">
        <f ca="1">IF('SVS GrundRG'!H61="",0,'SVS GrundRG'!H61)</f>
        <v>0</v>
      </c>
      <c r="P50" s="95">
        <f t="shared" si="2"/>
        <v>0</v>
      </c>
      <c r="Q50" s="95">
        <f t="shared" si="3"/>
        <v>0</v>
      </c>
      <c r="R50" s="95">
        <f t="shared" si="4"/>
        <v>0</v>
      </c>
      <c r="S50" s="3" t="str">
        <f t="shared" si="5"/>
        <v>Leistungswert eintragen</v>
      </c>
      <c r="U50" s="3">
        <f t="shared" si="6"/>
        <v>14</v>
      </c>
      <c r="V50" s="3">
        <f t="shared" si="7"/>
        <v>4.2</v>
      </c>
      <c r="W50" s="3">
        <f t="shared" si="8"/>
        <v>18.2</v>
      </c>
      <c r="X50" s="3" t="str">
        <f t="shared" si="9"/>
        <v/>
      </c>
    </row>
    <row r="51" spans="1:24" ht="15" customHeight="1" x14ac:dyDescent="0.2">
      <c r="A51" s="153">
        <v>30</v>
      </c>
      <c r="B51" s="165"/>
      <c r="C51" s="166" t="s">
        <v>306</v>
      </c>
      <c r="D51" s="166" t="s">
        <v>335</v>
      </c>
      <c r="E51" s="166" t="s">
        <v>310</v>
      </c>
      <c r="F51" s="166" t="s">
        <v>334</v>
      </c>
      <c r="G51" s="167">
        <v>15.9</v>
      </c>
      <c r="H51" s="167"/>
      <c r="I51" s="167"/>
      <c r="J51" s="153" t="s">
        <v>310</v>
      </c>
      <c r="K51" s="153" t="s">
        <v>168</v>
      </c>
      <c r="L51" s="95">
        <f>VLOOKUP(K51,Reinigungstage!A10:O31,15,FALSE)</f>
        <v>1</v>
      </c>
      <c r="M51" s="95">
        <f t="shared" si="0"/>
        <v>15.9</v>
      </c>
      <c r="N51" s="168">
        <f t="shared" si="1"/>
        <v>0</v>
      </c>
      <c r="O51" s="95">
        <f ca="1">IF('SVS GrundRG'!H61="",0,'SVS GrundRG'!H61)</f>
        <v>0</v>
      </c>
      <c r="P51" s="95">
        <f t="shared" si="2"/>
        <v>0</v>
      </c>
      <c r="Q51" s="95">
        <f t="shared" si="3"/>
        <v>0</v>
      </c>
      <c r="R51" s="95">
        <f t="shared" si="4"/>
        <v>0</v>
      </c>
      <c r="S51" s="3" t="str">
        <f t="shared" si="5"/>
        <v>Leistungswert eintragen</v>
      </c>
      <c r="U51" s="3">
        <f t="shared" si="6"/>
        <v>14</v>
      </c>
      <c r="V51" s="3">
        <f t="shared" si="7"/>
        <v>4.2</v>
      </c>
      <c r="W51" s="3">
        <f t="shared" si="8"/>
        <v>18.2</v>
      </c>
      <c r="X51" s="3" t="str">
        <f t="shared" si="9"/>
        <v/>
      </c>
    </row>
    <row r="52" spans="1:24" ht="15" customHeight="1" x14ac:dyDescent="0.2">
      <c r="A52" s="153">
        <v>31</v>
      </c>
      <c r="B52" s="165"/>
      <c r="C52" s="166" t="s">
        <v>276</v>
      </c>
      <c r="D52" s="166" t="s">
        <v>317</v>
      </c>
      <c r="E52" s="166" t="s">
        <v>288</v>
      </c>
      <c r="F52" s="166" t="s">
        <v>293</v>
      </c>
      <c r="G52" s="167">
        <v>41.86</v>
      </c>
      <c r="H52" s="167"/>
      <c r="I52" s="167"/>
      <c r="J52" s="153" t="s">
        <v>313</v>
      </c>
      <c r="K52" s="153" t="s">
        <v>168</v>
      </c>
      <c r="L52" s="95">
        <f>VLOOKUP(K52,Reinigungstage!A10:O31,15,FALSE)</f>
        <v>1</v>
      </c>
      <c r="M52" s="95">
        <f t="shared" si="0"/>
        <v>41.86</v>
      </c>
      <c r="N52" s="168">
        <f t="shared" si="1"/>
        <v>0</v>
      </c>
      <c r="O52" s="95">
        <f ca="1">IF('SVS GrundRG'!H61="",0,'SVS GrundRG'!H61)</f>
        <v>0</v>
      </c>
      <c r="P52" s="95">
        <f t="shared" si="2"/>
        <v>0</v>
      </c>
      <c r="Q52" s="95">
        <f t="shared" si="3"/>
        <v>0</v>
      </c>
      <c r="R52" s="95">
        <f t="shared" si="4"/>
        <v>0</v>
      </c>
      <c r="S52" s="3" t="str">
        <f t="shared" si="5"/>
        <v>Leistungswert eintragen</v>
      </c>
      <c r="U52" s="3">
        <f t="shared" si="6"/>
        <v>24</v>
      </c>
      <c r="V52" s="3">
        <f t="shared" si="7"/>
        <v>7.1999999999999993</v>
      </c>
      <c r="W52" s="3">
        <f t="shared" si="8"/>
        <v>31.2</v>
      </c>
      <c r="X52" s="3" t="str">
        <f t="shared" si="9"/>
        <v/>
      </c>
    </row>
    <row r="53" spans="1:24" ht="15" customHeight="1" x14ac:dyDescent="0.2">
      <c r="A53" s="153">
        <v>32</v>
      </c>
      <c r="B53" s="165" t="s">
        <v>344</v>
      </c>
      <c r="C53" s="166" t="s">
        <v>276</v>
      </c>
      <c r="D53" s="166" t="s">
        <v>317</v>
      </c>
      <c r="E53" s="166" t="s">
        <v>291</v>
      </c>
      <c r="F53" s="166" t="s">
        <v>293</v>
      </c>
      <c r="G53" s="167">
        <v>14.52</v>
      </c>
      <c r="H53" s="167"/>
      <c r="I53" s="167"/>
      <c r="J53" s="153" t="s">
        <v>291</v>
      </c>
      <c r="K53" s="153" t="s">
        <v>168</v>
      </c>
      <c r="L53" s="95">
        <f>VLOOKUP(K53,Reinigungstage!A10:O31,15,FALSE)</f>
        <v>1</v>
      </c>
      <c r="M53" s="95">
        <f t="shared" ref="M53:M84" si="10">ROUND(IF(L53=0,0,L53*G53),2)</f>
        <v>14.52</v>
      </c>
      <c r="N53" s="168">
        <f t="shared" ref="N53:N84" si="11">VLOOKUP(J53,$G$4:$H$13,2,FALSE)</f>
        <v>0</v>
      </c>
      <c r="O53" s="95">
        <f ca="1">IF('SVS GrundRG'!H61="",0,'SVS GrundRG'!H61)</f>
        <v>0</v>
      </c>
      <c r="P53" s="95">
        <f t="shared" ref="P53:P84" si="12">ROUND(IF(N53=0,0,M53/N53),2)</f>
        <v>0</v>
      </c>
      <c r="Q53" s="95">
        <f t="shared" ref="Q53:Q84" si="13">ROUND(IF(P53=0,0,P53*O53),2)</f>
        <v>0</v>
      </c>
      <c r="R53" s="95">
        <f t="shared" ref="R53:R84" si="14">ROUND(IF(P53=0,0,Q53/L53),2)</f>
        <v>0</v>
      </c>
      <c r="S53" s="3" t="str">
        <f t="shared" ref="S53:S84" si="15">IF(M53=0,"",IF(N53=0,"Leistungswert eintragen",IF(O53=0,"SVS prüfen","")))</f>
        <v>Leistungswert eintragen</v>
      </c>
      <c r="U53" s="3">
        <f t="shared" ref="U53:U84" si="16">VLOOKUP(J53,$U$4:$V$13,2,FALSE)</f>
        <v>16.5</v>
      </c>
      <c r="V53" s="3">
        <f t="shared" ref="V53:V84" si="17">U53*30%</f>
        <v>4.95</v>
      </c>
      <c r="W53" s="3">
        <f t="shared" ref="W53:W84" si="18">SUM(U53:V53)</f>
        <v>21.45</v>
      </c>
      <c r="X53" s="3" t="str">
        <f t="shared" ref="X53:X84" si="19">IF(N53=0,"",IF(W53&lt;N53,1,IF(W53&gt;=N53,0,"")))</f>
        <v/>
      </c>
    </row>
    <row r="54" spans="1:24" ht="15" customHeight="1" x14ac:dyDescent="0.2">
      <c r="A54" s="153">
        <v>33</v>
      </c>
      <c r="B54" s="165" t="s">
        <v>345</v>
      </c>
      <c r="C54" s="166" t="s">
        <v>276</v>
      </c>
      <c r="D54" s="166" t="s">
        <v>317</v>
      </c>
      <c r="E54" s="166" t="s">
        <v>320</v>
      </c>
      <c r="F54" s="166" t="s">
        <v>287</v>
      </c>
      <c r="G54" s="167">
        <v>55.09</v>
      </c>
      <c r="H54" s="167"/>
      <c r="I54" s="167"/>
      <c r="J54" s="153" t="s">
        <v>401</v>
      </c>
      <c r="K54" s="153" t="s">
        <v>168</v>
      </c>
      <c r="L54" s="95">
        <f>VLOOKUP(K54,Reinigungstage!A10:O31,15,FALSE)</f>
        <v>1</v>
      </c>
      <c r="M54" s="95">
        <f t="shared" si="10"/>
        <v>55.09</v>
      </c>
      <c r="N54" s="168">
        <f t="shared" si="11"/>
        <v>0</v>
      </c>
      <c r="O54" s="95">
        <f ca="1">IF('SVS GrundRG'!H61="",0,'SVS GrundRG'!H61)</f>
        <v>0</v>
      </c>
      <c r="P54" s="95">
        <f t="shared" si="12"/>
        <v>0</v>
      </c>
      <c r="Q54" s="95">
        <f t="shared" si="13"/>
        <v>0</v>
      </c>
      <c r="R54" s="95">
        <f t="shared" si="14"/>
        <v>0</v>
      </c>
      <c r="S54" s="3" t="str">
        <f t="shared" si="15"/>
        <v>Leistungswert eintragen</v>
      </c>
      <c r="U54" s="3">
        <f t="shared" si="16"/>
        <v>14</v>
      </c>
      <c r="V54" s="3">
        <f t="shared" si="17"/>
        <v>4.2</v>
      </c>
      <c r="W54" s="3">
        <f t="shared" si="18"/>
        <v>18.2</v>
      </c>
      <c r="X54" s="3" t="str">
        <f t="shared" si="19"/>
        <v/>
      </c>
    </row>
    <row r="55" spans="1:24" ht="15" customHeight="1" x14ac:dyDescent="0.2">
      <c r="A55" s="153">
        <v>34</v>
      </c>
      <c r="B55" s="165" t="s">
        <v>346</v>
      </c>
      <c r="C55" s="166" t="s">
        <v>276</v>
      </c>
      <c r="D55" s="166" t="s">
        <v>317</v>
      </c>
      <c r="E55" s="166" t="s">
        <v>320</v>
      </c>
      <c r="F55" s="166" t="s">
        <v>287</v>
      </c>
      <c r="G55" s="167">
        <v>55.37</v>
      </c>
      <c r="H55" s="167"/>
      <c r="I55" s="167"/>
      <c r="J55" s="153" t="s">
        <v>401</v>
      </c>
      <c r="K55" s="153" t="s">
        <v>168</v>
      </c>
      <c r="L55" s="95">
        <f>VLOOKUP(K55,Reinigungstage!A10:O31,15,FALSE)</f>
        <v>1</v>
      </c>
      <c r="M55" s="95">
        <f t="shared" si="10"/>
        <v>55.37</v>
      </c>
      <c r="N55" s="168">
        <f t="shared" si="11"/>
        <v>0</v>
      </c>
      <c r="O55" s="95">
        <f ca="1">IF('SVS GrundRG'!H61="",0,'SVS GrundRG'!H61)</f>
        <v>0</v>
      </c>
      <c r="P55" s="95">
        <f t="shared" si="12"/>
        <v>0</v>
      </c>
      <c r="Q55" s="95">
        <f t="shared" si="13"/>
        <v>0</v>
      </c>
      <c r="R55" s="95">
        <f t="shared" si="14"/>
        <v>0</v>
      </c>
      <c r="S55" s="3" t="str">
        <f t="shared" si="15"/>
        <v>Leistungswert eintragen</v>
      </c>
      <c r="U55" s="3">
        <f t="shared" si="16"/>
        <v>14</v>
      </c>
      <c r="V55" s="3">
        <f t="shared" si="17"/>
        <v>4.2</v>
      </c>
      <c r="W55" s="3">
        <f t="shared" si="18"/>
        <v>18.2</v>
      </c>
      <c r="X55" s="3" t="str">
        <f t="shared" si="19"/>
        <v/>
      </c>
    </row>
    <row r="56" spans="1:24" ht="15" customHeight="1" x14ac:dyDescent="0.2">
      <c r="A56" s="153">
        <v>35</v>
      </c>
      <c r="B56" s="165" t="s">
        <v>347</v>
      </c>
      <c r="C56" s="166" t="s">
        <v>276</v>
      </c>
      <c r="D56" s="166" t="s">
        <v>317</v>
      </c>
      <c r="E56" s="166" t="s">
        <v>321</v>
      </c>
      <c r="F56" s="166" t="s">
        <v>287</v>
      </c>
      <c r="G56" s="167">
        <v>15.45</v>
      </c>
      <c r="H56" s="167"/>
      <c r="I56" s="167"/>
      <c r="J56" s="153" t="s">
        <v>401</v>
      </c>
      <c r="K56" s="153" t="s">
        <v>168</v>
      </c>
      <c r="L56" s="95">
        <f>VLOOKUP(K56,Reinigungstage!A10:O31,15,FALSE)</f>
        <v>1</v>
      </c>
      <c r="M56" s="95">
        <f t="shared" si="10"/>
        <v>15.45</v>
      </c>
      <c r="N56" s="168">
        <f t="shared" si="11"/>
        <v>0</v>
      </c>
      <c r="O56" s="95">
        <f ca="1">IF('SVS GrundRG'!H61="",0,'SVS GrundRG'!H61)</f>
        <v>0</v>
      </c>
      <c r="P56" s="95">
        <f t="shared" si="12"/>
        <v>0</v>
      </c>
      <c r="Q56" s="95">
        <f t="shared" si="13"/>
        <v>0</v>
      </c>
      <c r="R56" s="95">
        <f t="shared" si="14"/>
        <v>0</v>
      </c>
      <c r="S56" s="3" t="str">
        <f t="shared" si="15"/>
        <v>Leistungswert eintragen</v>
      </c>
      <c r="U56" s="3">
        <f t="shared" si="16"/>
        <v>14</v>
      </c>
      <c r="V56" s="3">
        <f t="shared" si="17"/>
        <v>4.2</v>
      </c>
      <c r="W56" s="3">
        <f t="shared" si="18"/>
        <v>18.2</v>
      </c>
      <c r="X56" s="3" t="str">
        <f t="shared" si="19"/>
        <v/>
      </c>
    </row>
    <row r="57" spans="1:24" ht="15" customHeight="1" x14ac:dyDescent="0.2">
      <c r="A57" s="153">
        <v>36</v>
      </c>
      <c r="B57" s="165" t="s">
        <v>348</v>
      </c>
      <c r="C57" s="166" t="s">
        <v>276</v>
      </c>
      <c r="D57" s="166" t="s">
        <v>317</v>
      </c>
      <c r="E57" s="166" t="s">
        <v>321</v>
      </c>
      <c r="F57" s="166" t="s">
        <v>287</v>
      </c>
      <c r="G57" s="167">
        <v>13.7</v>
      </c>
      <c r="H57" s="167"/>
      <c r="I57" s="167"/>
      <c r="J57" s="153" t="s">
        <v>401</v>
      </c>
      <c r="K57" s="153" t="s">
        <v>168</v>
      </c>
      <c r="L57" s="95">
        <f>VLOOKUP(K57,Reinigungstage!A10:O31,15,FALSE)</f>
        <v>1</v>
      </c>
      <c r="M57" s="95">
        <f t="shared" si="10"/>
        <v>13.7</v>
      </c>
      <c r="N57" s="168">
        <f t="shared" si="11"/>
        <v>0</v>
      </c>
      <c r="O57" s="95">
        <f ca="1">IF('SVS GrundRG'!H61="",0,'SVS GrundRG'!H61)</f>
        <v>0</v>
      </c>
      <c r="P57" s="95">
        <f t="shared" si="12"/>
        <v>0</v>
      </c>
      <c r="Q57" s="95">
        <f t="shared" si="13"/>
        <v>0</v>
      </c>
      <c r="R57" s="95">
        <f t="shared" si="14"/>
        <v>0</v>
      </c>
      <c r="S57" s="3" t="str">
        <f t="shared" si="15"/>
        <v>Leistungswert eintragen</v>
      </c>
      <c r="U57" s="3">
        <f t="shared" si="16"/>
        <v>14</v>
      </c>
      <c r="V57" s="3">
        <f t="shared" si="17"/>
        <v>4.2</v>
      </c>
      <c r="W57" s="3">
        <f t="shared" si="18"/>
        <v>18.2</v>
      </c>
      <c r="X57" s="3" t="str">
        <f t="shared" si="19"/>
        <v/>
      </c>
    </row>
    <row r="58" spans="1:24" ht="15" customHeight="1" x14ac:dyDescent="0.2">
      <c r="A58" s="153">
        <v>37</v>
      </c>
      <c r="B58" s="165" t="s">
        <v>349</v>
      </c>
      <c r="C58" s="166" t="s">
        <v>276</v>
      </c>
      <c r="D58" s="166" t="s">
        <v>317</v>
      </c>
      <c r="E58" s="166" t="s">
        <v>320</v>
      </c>
      <c r="F58" s="166" t="s">
        <v>287</v>
      </c>
      <c r="G58" s="167">
        <v>55.66</v>
      </c>
      <c r="H58" s="167"/>
      <c r="I58" s="167"/>
      <c r="J58" s="153" t="s">
        <v>401</v>
      </c>
      <c r="K58" s="153" t="s">
        <v>168</v>
      </c>
      <c r="L58" s="95">
        <f>VLOOKUP(K58,Reinigungstage!A10:O31,15,FALSE)</f>
        <v>1</v>
      </c>
      <c r="M58" s="95">
        <f t="shared" si="10"/>
        <v>55.66</v>
      </c>
      <c r="N58" s="168">
        <f t="shared" si="11"/>
        <v>0</v>
      </c>
      <c r="O58" s="95">
        <f ca="1">IF('SVS GrundRG'!H61="",0,'SVS GrundRG'!H61)</f>
        <v>0</v>
      </c>
      <c r="P58" s="95">
        <f t="shared" si="12"/>
        <v>0</v>
      </c>
      <c r="Q58" s="95">
        <f t="shared" si="13"/>
        <v>0</v>
      </c>
      <c r="R58" s="95">
        <f t="shared" si="14"/>
        <v>0</v>
      </c>
      <c r="S58" s="3" t="str">
        <f t="shared" si="15"/>
        <v>Leistungswert eintragen</v>
      </c>
      <c r="U58" s="3">
        <f t="shared" si="16"/>
        <v>14</v>
      </c>
      <c r="V58" s="3">
        <f t="shared" si="17"/>
        <v>4.2</v>
      </c>
      <c r="W58" s="3">
        <f t="shared" si="18"/>
        <v>18.2</v>
      </c>
      <c r="X58" s="3" t="str">
        <f t="shared" si="19"/>
        <v/>
      </c>
    </row>
    <row r="59" spans="1:24" ht="15" customHeight="1" x14ac:dyDescent="0.2">
      <c r="A59" s="153">
        <v>38</v>
      </c>
      <c r="B59" s="165" t="s">
        <v>350</v>
      </c>
      <c r="C59" s="166" t="s">
        <v>276</v>
      </c>
      <c r="D59" s="166" t="s">
        <v>317</v>
      </c>
      <c r="E59" s="166" t="s">
        <v>320</v>
      </c>
      <c r="F59" s="166" t="s">
        <v>287</v>
      </c>
      <c r="G59" s="167">
        <v>52.29</v>
      </c>
      <c r="H59" s="167">
        <v>9.56</v>
      </c>
      <c r="I59" s="167"/>
      <c r="J59" s="153" t="s">
        <v>401</v>
      </c>
      <c r="K59" s="153" t="s">
        <v>168</v>
      </c>
      <c r="L59" s="95">
        <f>VLOOKUP(K59,Reinigungstage!A10:O31,15,FALSE)</f>
        <v>1</v>
      </c>
      <c r="M59" s="95">
        <f t="shared" si="10"/>
        <v>52.29</v>
      </c>
      <c r="N59" s="168">
        <f t="shared" si="11"/>
        <v>0</v>
      </c>
      <c r="O59" s="95">
        <f ca="1">IF('SVS GrundRG'!H61="",0,'SVS GrundRG'!H61)</f>
        <v>0</v>
      </c>
      <c r="P59" s="95">
        <f t="shared" si="12"/>
        <v>0</v>
      </c>
      <c r="Q59" s="95">
        <f t="shared" si="13"/>
        <v>0</v>
      </c>
      <c r="R59" s="95">
        <f t="shared" si="14"/>
        <v>0</v>
      </c>
      <c r="S59" s="3" t="str">
        <f t="shared" si="15"/>
        <v>Leistungswert eintragen</v>
      </c>
      <c r="U59" s="3">
        <f t="shared" si="16"/>
        <v>14</v>
      </c>
      <c r="V59" s="3">
        <f t="shared" si="17"/>
        <v>4.2</v>
      </c>
      <c r="W59" s="3">
        <f t="shared" si="18"/>
        <v>18.2</v>
      </c>
      <c r="X59" s="3" t="str">
        <f t="shared" si="19"/>
        <v/>
      </c>
    </row>
    <row r="60" spans="1:24" ht="15" customHeight="1" x14ac:dyDescent="0.2">
      <c r="A60" s="153">
        <v>39</v>
      </c>
      <c r="B60" s="165"/>
      <c r="C60" s="166" t="s">
        <v>276</v>
      </c>
      <c r="D60" s="166" t="s">
        <v>317</v>
      </c>
      <c r="E60" s="166" t="s">
        <v>351</v>
      </c>
      <c r="F60" s="166" t="s">
        <v>293</v>
      </c>
      <c r="G60" s="167">
        <v>35.020000000000003</v>
      </c>
      <c r="H60" s="167"/>
      <c r="I60" s="167"/>
      <c r="J60" s="153" t="s">
        <v>313</v>
      </c>
      <c r="K60" s="153" t="s">
        <v>168</v>
      </c>
      <c r="L60" s="95">
        <f>VLOOKUP(K60,Reinigungstage!A10:O31,15,FALSE)</f>
        <v>1</v>
      </c>
      <c r="M60" s="95">
        <f t="shared" si="10"/>
        <v>35.020000000000003</v>
      </c>
      <c r="N60" s="168">
        <f t="shared" si="11"/>
        <v>0</v>
      </c>
      <c r="O60" s="95">
        <f ca="1">IF('SVS GrundRG'!H61="",0,'SVS GrundRG'!H61)</f>
        <v>0</v>
      </c>
      <c r="P60" s="95">
        <f t="shared" si="12"/>
        <v>0</v>
      </c>
      <c r="Q60" s="95">
        <f t="shared" si="13"/>
        <v>0</v>
      </c>
      <c r="R60" s="95">
        <f t="shared" si="14"/>
        <v>0</v>
      </c>
      <c r="S60" s="3" t="str">
        <f t="shared" si="15"/>
        <v>Leistungswert eintragen</v>
      </c>
      <c r="U60" s="3">
        <f t="shared" si="16"/>
        <v>24</v>
      </c>
      <c r="V60" s="3">
        <f t="shared" si="17"/>
        <v>7.1999999999999993</v>
      </c>
      <c r="W60" s="3">
        <f t="shared" si="18"/>
        <v>31.2</v>
      </c>
      <c r="X60" s="3" t="str">
        <f t="shared" si="19"/>
        <v/>
      </c>
    </row>
    <row r="61" spans="1:24" ht="15" customHeight="1" x14ac:dyDescent="0.2">
      <c r="A61" s="153">
        <v>40</v>
      </c>
      <c r="B61" s="165"/>
      <c r="C61" s="166" t="s">
        <v>276</v>
      </c>
      <c r="D61" s="166" t="s">
        <v>325</v>
      </c>
      <c r="E61" s="166" t="s">
        <v>288</v>
      </c>
      <c r="F61" s="166" t="s">
        <v>293</v>
      </c>
      <c r="G61" s="167">
        <v>24.8</v>
      </c>
      <c r="H61" s="167"/>
      <c r="I61" s="167"/>
      <c r="J61" s="153" t="s">
        <v>313</v>
      </c>
      <c r="K61" s="153" t="s">
        <v>168</v>
      </c>
      <c r="L61" s="95">
        <f>VLOOKUP(K61,Reinigungstage!A10:O31,15,FALSE)</f>
        <v>1</v>
      </c>
      <c r="M61" s="95">
        <f t="shared" si="10"/>
        <v>24.8</v>
      </c>
      <c r="N61" s="168">
        <f t="shared" si="11"/>
        <v>0</v>
      </c>
      <c r="O61" s="95">
        <f ca="1">IF('SVS GrundRG'!H61="",0,'SVS GrundRG'!H61)</f>
        <v>0</v>
      </c>
      <c r="P61" s="95">
        <f t="shared" si="12"/>
        <v>0</v>
      </c>
      <c r="Q61" s="95">
        <f t="shared" si="13"/>
        <v>0</v>
      </c>
      <c r="R61" s="95">
        <f t="shared" si="14"/>
        <v>0</v>
      </c>
      <c r="S61" s="3" t="str">
        <f t="shared" si="15"/>
        <v>Leistungswert eintragen</v>
      </c>
      <c r="U61" s="3">
        <f t="shared" si="16"/>
        <v>24</v>
      </c>
      <c r="V61" s="3">
        <f t="shared" si="17"/>
        <v>7.1999999999999993</v>
      </c>
      <c r="W61" s="3">
        <f t="shared" si="18"/>
        <v>31.2</v>
      </c>
      <c r="X61" s="3" t="str">
        <f t="shared" si="19"/>
        <v/>
      </c>
    </row>
    <row r="62" spans="1:24" ht="15" customHeight="1" x14ac:dyDescent="0.2">
      <c r="A62" s="153">
        <v>41</v>
      </c>
      <c r="B62" s="165" t="s">
        <v>352</v>
      </c>
      <c r="C62" s="166" t="s">
        <v>276</v>
      </c>
      <c r="D62" s="166" t="s">
        <v>325</v>
      </c>
      <c r="E62" s="166" t="s">
        <v>291</v>
      </c>
      <c r="F62" s="166" t="s">
        <v>287</v>
      </c>
      <c r="G62" s="167">
        <v>16.190000000000001</v>
      </c>
      <c r="H62" s="167"/>
      <c r="I62" s="167"/>
      <c r="J62" s="153" t="s">
        <v>291</v>
      </c>
      <c r="K62" s="153" t="s">
        <v>168</v>
      </c>
      <c r="L62" s="95">
        <f>VLOOKUP(K62,Reinigungstage!A10:O31,15,FALSE)</f>
        <v>1</v>
      </c>
      <c r="M62" s="95">
        <f t="shared" si="10"/>
        <v>16.190000000000001</v>
      </c>
      <c r="N62" s="168">
        <f t="shared" si="11"/>
        <v>0</v>
      </c>
      <c r="O62" s="95">
        <f ca="1">IF('SVS GrundRG'!H61="",0,'SVS GrundRG'!H61)</f>
        <v>0</v>
      </c>
      <c r="P62" s="95">
        <f t="shared" si="12"/>
        <v>0</v>
      </c>
      <c r="Q62" s="95">
        <f t="shared" si="13"/>
        <v>0</v>
      </c>
      <c r="R62" s="95">
        <f t="shared" si="14"/>
        <v>0</v>
      </c>
      <c r="S62" s="3" t="str">
        <f t="shared" si="15"/>
        <v>Leistungswert eintragen</v>
      </c>
      <c r="U62" s="3">
        <f t="shared" si="16"/>
        <v>16.5</v>
      </c>
      <c r="V62" s="3">
        <f t="shared" si="17"/>
        <v>4.95</v>
      </c>
      <c r="W62" s="3">
        <f t="shared" si="18"/>
        <v>21.45</v>
      </c>
      <c r="X62" s="3" t="str">
        <f t="shared" si="19"/>
        <v/>
      </c>
    </row>
    <row r="63" spans="1:24" ht="15" customHeight="1" x14ac:dyDescent="0.2">
      <c r="A63" s="153">
        <v>42</v>
      </c>
      <c r="B63" s="165" t="s">
        <v>353</v>
      </c>
      <c r="C63" s="166" t="s">
        <v>276</v>
      </c>
      <c r="D63" s="166" t="s">
        <v>325</v>
      </c>
      <c r="E63" s="166" t="s">
        <v>320</v>
      </c>
      <c r="F63" s="166" t="s">
        <v>287</v>
      </c>
      <c r="G63" s="167">
        <v>47.37</v>
      </c>
      <c r="H63" s="167"/>
      <c r="I63" s="167"/>
      <c r="J63" s="153" t="s">
        <v>401</v>
      </c>
      <c r="K63" s="153" t="s">
        <v>168</v>
      </c>
      <c r="L63" s="95">
        <f>VLOOKUP(K63,Reinigungstage!A10:O31,15,FALSE)</f>
        <v>1</v>
      </c>
      <c r="M63" s="95">
        <f t="shared" si="10"/>
        <v>47.37</v>
      </c>
      <c r="N63" s="168">
        <f t="shared" si="11"/>
        <v>0</v>
      </c>
      <c r="O63" s="95">
        <f ca="1">IF('SVS GrundRG'!H61="",0,'SVS GrundRG'!H61)</f>
        <v>0</v>
      </c>
      <c r="P63" s="95">
        <f t="shared" si="12"/>
        <v>0</v>
      </c>
      <c r="Q63" s="95">
        <f t="shared" si="13"/>
        <v>0</v>
      </c>
      <c r="R63" s="95">
        <f t="shared" si="14"/>
        <v>0</v>
      </c>
      <c r="S63" s="3" t="str">
        <f t="shared" si="15"/>
        <v>Leistungswert eintragen</v>
      </c>
      <c r="U63" s="3">
        <f t="shared" si="16"/>
        <v>14</v>
      </c>
      <c r="V63" s="3">
        <f t="shared" si="17"/>
        <v>4.2</v>
      </c>
      <c r="W63" s="3">
        <f t="shared" si="18"/>
        <v>18.2</v>
      </c>
      <c r="X63" s="3" t="str">
        <f t="shared" si="19"/>
        <v/>
      </c>
    </row>
    <row r="64" spans="1:24" ht="15" customHeight="1" x14ac:dyDescent="0.2">
      <c r="A64" s="153">
        <v>43</v>
      </c>
      <c r="B64" s="165" t="s">
        <v>354</v>
      </c>
      <c r="C64" s="166" t="s">
        <v>276</v>
      </c>
      <c r="D64" s="166" t="s">
        <v>325</v>
      </c>
      <c r="E64" s="166" t="s">
        <v>355</v>
      </c>
      <c r="F64" s="166" t="s">
        <v>287</v>
      </c>
      <c r="G64" s="167">
        <v>11.19</v>
      </c>
      <c r="H64" s="167"/>
      <c r="I64" s="167"/>
      <c r="J64" s="153" t="s">
        <v>402</v>
      </c>
      <c r="K64" s="153" t="s">
        <v>168</v>
      </c>
      <c r="L64" s="95">
        <f>VLOOKUP(K64,Reinigungstage!A10:O31,15,FALSE)</f>
        <v>1</v>
      </c>
      <c r="M64" s="95">
        <f t="shared" si="10"/>
        <v>11.19</v>
      </c>
      <c r="N64" s="168">
        <f t="shared" si="11"/>
        <v>0</v>
      </c>
      <c r="O64" s="95">
        <f ca="1">IF('SVS GrundRG'!H61="",0,'SVS GrundRG'!H61)</f>
        <v>0</v>
      </c>
      <c r="P64" s="95">
        <f t="shared" si="12"/>
        <v>0</v>
      </c>
      <c r="Q64" s="95">
        <f t="shared" si="13"/>
        <v>0</v>
      </c>
      <c r="R64" s="95">
        <f t="shared" si="14"/>
        <v>0</v>
      </c>
      <c r="S64" s="3" t="str">
        <f t="shared" si="15"/>
        <v>Leistungswert eintragen</v>
      </c>
      <c r="U64" s="3">
        <f t="shared" si="16"/>
        <v>13</v>
      </c>
      <c r="V64" s="3">
        <f t="shared" si="17"/>
        <v>3.9</v>
      </c>
      <c r="W64" s="3">
        <f t="shared" si="18"/>
        <v>16.899999999999999</v>
      </c>
      <c r="X64" s="3" t="str">
        <f t="shared" si="19"/>
        <v/>
      </c>
    </row>
    <row r="65" spans="1:24" ht="15" customHeight="1" x14ac:dyDescent="0.2">
      <c r="A65" s="153">
        <v>44</v>
      </c>
      <c r="B65" s="165" t="s">
        <v>356</v>
      </c>
      <c r="C65" s="166" t="s">
        <v>276</v>
      </c>
      <c r="D65" s="166" t="s">
        <v>325</v>
      </c>
      <c r="E65" s="166" t="s">
        <v>357</v>
      </c>
      <c r="F65" s="166" t="s">
        <v>287</v>
      </c>
      <c r="G65" s="167">
        <v>31.9</v>
      </c>
      <c r="H65" s="167"/>
      <c r="I65" s="167"/>
      <c r="J65" s="153" t="s">
        <v>315</v>
      </c>
      <c r="K65" s="153" t="s">
        <v>168</v>
      </c>
      <c r="L65" s="95">
        <f>VLOOKUP(K65,Reinigungstage!A10:O31,15,FALSE)</f>
        <v>1</v>
      </c>
      <c r="M65" s="95">
        <f t="shared" si="10"/>
        <v>31.9</v>
      </c>
      <c r="N65" s="168">
        <f t="shared" si="11"/>
        <v>0</v>
      </c>
      <c r="O65" s="95">
        <f ca="1">IF('SVS GrundRG'!H61="",0,'SVS GrundRG'!H61)</f>
        <v>0</v>
      </c>
      <c r="P65" s="95">
        <f t="shared" si="12"/>
        <v>0</v>
      </c>
      <c r="Q65" s="95">
        <f t="shared" si="13"/>
        <v>0</v>
      </c>
      <c r="R65" s="95">
        <f t="shared" si="14"/>
        <v>0</v>
      </c>
      <c r="S65" s="3" t="str">
        <f t="shared" si="15"/>
        <v>Leistungswert eintragen</v>
      </c>
      <c r="U65" s="3">
        <f t="shared" si="16"/>
        <v>15</v>
      </c>
      <c r="V65" s="3">
        <f t="shared" si="17"/>
        <v>4.5</v>
      </c>
      <c r="W65" s="3">
        <f t="shared" si="18"/>
        <v>19.5</v>
      </c>
      <c r="X65" s="3" t="str">
        <f t="shared" si="19"/>
        <v/>
      </c>
    </row>
    <row r="66" spans="1:24" ht="15" customHeight="1" x14ac:dyDescent="0.2">
      <c r="A66" s="153">
        <v>45</v>
      </c>
      <c r="B66" s="165"/>
      <c r="C66" s="166" t="s">
        <v>276</v>
      </c>
      <c r="D66" s="166" t="s">
        <v>325</v>
      </c>
      <c r="E66" s="166" t="s">
        <v>304</v>
      </c>
      <c r="F66" s="166" t="s">
        <v>287</v>
      </c>
      <c r="G66" s="167">
        <v>3.7</v>
      </c>
      <c r="H66" s="167"/>
      <c r="I66" s="167"/>
      <c r="J66" s="153" t="s">
        <v>312</v>
      </c>
      <c r="K66" s="153" t="s">
        <v>168</v>
      </c>
      <c r="L66" s="95">
        <f>VLOOKUP(K66,Reinigungstage!A10:O31,15,FALSE)</f>
        <v>1</v>
      </c>
      <c r="M66" s="95">
        <f t="shared" si="10"/>
        <v>3.7</v>
      </c>
      <c r="N66" s="168">
        <f t="shared" si="11"/>
        <v>0</v>
      </c>
      <c r="O66" s="95">
        <f ca="1">IF('SVS GrundRG'!H61="",0,'SVS GrundRG'!H61)</f>
        <v>0</v>
      </c>
      <c r="P66" s="95">
        <f t="shared" si="12"/>
        <v>0</v>
      </c>
      <c r="Q66" s="95">
        <f t="shared" si="13"/>
        <v>0</v>
      </c>
      <c r="R66" s="95">
        <f t="shared" si="14"/>
        <v>0</v>
      </c>
      <c r="S66" s="3" t="str">
        <f t="shared" si="15"/>
        <v>Leistungswert eintragen</v>
      </c>
      <c r="U66" s="3">
        <f t="shared" si="16"/>
        <v>20</v>
      </c>
      <c r="V66" s="3">
        <f t="shared" si="17"/>
        <v>6</v>
      </c>
      <c r="W66" s="3">
        <f t="shared" si="18"/>
        <v>26</v>
      </c>
      <c r="X66" s="3" t="str">
        <f t="shared" si="19"/>
        <v/>
      </c>
    </row>
    <row r="67" spans="1:24" ht="15" customHeight="1" x14ac:dyDescent="0.2">
      <c r="A67" s="153">
        <v>46</v>
      </c>
      <c r="B67" s="165" t="s">
        <v>358</v>
      </c>
      <c r="C67" s="166" t="s">
        <v>276</v>
      </c>
      <c r="D67" s="166" t="s">
        <v>325</v>
      </c>
      <c r="E67" s="166" t="s">
        <v>337</v>
      </c>
      <c r="F67" s="166" t="s">
        <v>287</v>
      </c>
      <c r="G67" s="167">
        <v>47.5</v>
      </c>
      <c r="H67" s="167">
        <v>7.77</v>
      </c>
      <c r="I67" s="167"/>
      <c r="J67" s="153" t="s">
        <v>401</v>
      </c>
      <c r="K67" s="153" t="s">
        <v>168</v>
      </c>
      <c r="L67" s="95">
        <f>VLOOKUP(K67,Reinigungstage!A10:O31,15,FALSE)</f>
        <v>1</v>
      </c>
      <c r="M67" s="95">
        <f t="shared" si="10"/>
        <v>47.5</v>
      </c>
      <c r="N67" s="168">
        <f t="shared" si="11"/>
        <v>0</v>
      </c>
      <c r="O67" s="95">
        <f ca="1">IF('SVS GrundRG'!H61="",0,'SVS GrundRG'!H61)</f>
        <v>0</v>
      </c>
      <c r="P67" s="95">
        <f t="shared" si="12"/>
        <v>0</v>
      </c>
      <c r="Q67" s="95">
        <f t="shared" si="13"/>
        <v>0</v>
      </c>
      <c r="R67" s="95">
        <f t="shared" si="14"/>
        <v>0</v>
      </c>
      <c r="S67" s="3" t="str">
        <f t="shared" si="15"/>
        <v>Leistungswert eintragen</v>
      </c>
      <c r="U67" s="3">
        <f t="shared" si="16"/>
        <v>14</v>
      </c>
      <c r="V67" s="3">
        <f t="shared" si="17"/>
        <v>4.2</v>
      </c>
      <c r="W67" s="3">
        <f t="shared" si="18"/>
        <v>18.2</v>
      </c>
      <c r="X67" s="3" t="str">
        <f t="shared" si="19"/>
        <v/>
      </c>
    </row>
    <row r="68" spans="1:24" ht="15" customHeight="1" x14ac:dyDescent="0.2">
      <c r="A68" s="153">
        <v>47</v>
      </c>
      <c r="B68" s="165"/>
      <c r="C68" s="166" t="s">
        <v>276</v>
      </c>
      <c r="D68" s="166" t="s">
        <v>325</v>
      </c>
      <c r="E68" s="166" t="s">
        <v>359</v>
      </c>
      <c r="F68" s="166" t="s">
        <v>293</v>
      </c>
      <c r="G68" s="167">
        <v>50.87</v>
      </c>
      <c r="H68" s="167"/>
      <c r="I68" s="167"/>
      <c r="J68" s="153" t="s">
        <v>313</v>
      </c>
      <c r="K68" s="153" t="s">
        <v>168</v>
      </c>
      <c r="L68" s="95">
        <f>VLOOKUP(K68,Reinigungstage!A10:O31,15,FALSE)</f>
        <v>1</v>
      </c>
      <c r="M68" s="95">
        <f t="shared" si="10"/>
        <v>50.87</v>
      </c>
      <c r="N68" s="168">
        <f t="shared" si="11"/>
        <v>0</v>
      </c>
      <c r="O68" s="95">
        <f ca="1">IF('SVS GrundRG'!H61="",0,'SVS GrundRG'!H61)</f>
        <v>0</v>
      </c>
      <c r="P68" s="95">
        <f t="shared" si="12"/>
        <v>0</v>
      </c>
      <c r="Q68" s="95">
        <f t="shared" si="13"/>
        <v>0</v>
      </c>
      <c r="R68" s="95">
        <f t="shared" si="14"/>
        <v>0</v>
      </c>
      <c r="S68" s="3" t="str">
        <f t="shared" si="15"/>
        <v>Leistungswert eintragen</v>
      </c>
      <c r="U68" s="3">
        <f t="shared" si="16"/>
        <v>24</v>
      </c>
      <c r="V68" s="3">
        <f t="shared" si="17"/>
        <v>7.1999999999999993</v>
      </c>
      <c r="W68" s="3">
        <f t="shared" si="18"/>
        <v>31.2</v>
      </c>
      <c r="X68" s="3" t="str">
        <f t="shared" si="19"/>
        <v/>
      </c>
    </row>
    <row r="69" spans="1:24" ht="15" customHeight="1" x14ac:dyDescent="0.2">
      <c r="A69" s="153">
        <v>48</v>
      </c>
      <c r="B69" s="165"/>
      <c r="C69" s="166" t="s">
        <v>276</v>
      </c>
      <c r="D69" s="166" t="s">
        <v>325</v>
      </c>
      <c r="E69" s="166" t="s">
        <v>310</v>
      </c>
      <c r="F69" s="166" t="s">
        <v>334</v>
      </c>
      <c r="G69" s="167">
        <v>6.54</v>
      </c>
      <c r="H69" s="167"/>
      <c r="I69" s="167"/>
      <c r="J69" s="153" t="s">
        <v>310</v>
      </c>
      <c r="K69" s="153" t="s">
        <v>168</v>
      </c>
      <c r="L69" s="95">
        <f>VLOOKUP(K69,Reinigungstage!A10:O31,15,FALSE)</f>
        <v>1</v>
      </c>
      <c r="M69" s="95">
        <f t="shared" si="10"/>
        <v>6.54</v>
      </c>
      <c r="N69" s="168">
        <f t="shared" si="11"/>
        <v>0</v>
      </c>
      <c r="O69" s="95">
        <f ca="1">IF('SVS GrundRG'!H61="",0,'SVS GrundRG'!H61)</f>
        <v>0</v>
      </c>
      <c r="P69" s="95">
        <f t="shared" si="12"/>
        <v>0</v>
      </c>
      <c r="Q69" s="95">
        <f t="shared" si="13"/>
        <v>0</v>
      </c>
      <c r="R69" s="95">
        <f t="shared" si="14"/>
        <v>0</v>
      </c>
      <c r="S69" s="3" t="str">
        <f t="shared" si="15"/>
        <v>Leistungswert eintragen</v>
      </c>
      <c r="U69" s="3">
        <f t="shared" si="16"/>
        <v>14</v>
      </c>
      <c r="V69" s="3">
        <f t="shared" si="17"/>
        <v>4.2</v>
      </c>
      <c r="W69" s="3">
        <f t="shared" si="18"/>
        <v>18.2</v>
      </c>
      <c r="X69" s="3" t="str">
        <f t="shared" si="19"/>
        <v/>
      </c>
    </row>
    <row r="70" spans="1:24" ht="15" customHeight="1" x14ac:dyDescent="0.2">
      <c r="A70" s="153">
        <v>49</v>
      </c>
      <c r="B70" s="165"/>
      <c r="C70" s="166" t="s">
        <v>276</v>
      </c>
      <c r="D70" s="166" t="s">
        <v>325</v>
      </c>
      <c r="E70" s="166" t="s">
        <v>309</v>
      </c>
      <c r="F70" s="166" t="s">
        <v>334</v>
      </c>
      <c r="G70" s="167">
        <v>4.3899999999999997</v>
      </c>
      <c r="H70" s="167"/>
      <c r="I70" s="167"/>
      <c r="J70" s="153" t="s">
        <v>310</v>
      </c>
      <c r="K70" s="153" t="s">
        <v>168</v>
      </c>
      <c r="L70" s="95">
        <f>VLOOKUP(K70,Reinigungstage!A10:O31,15,FALSE)</f>
        <v>1</v>
      </c>
      <c r="M70" s="95">
        <f t="shared" si="10"/>
        <v>4.3899999999999997</v>
      </c>
      <c r="N70" s="168">
        <f t="shared" si="11"/>
        <v>0</v>
      </c>
      <c r="O70" s="95">
        <f ca="1">IF('SVS GrundRG'!H61="",0,'SVS GrundRG'!H61)</f>
        <v>0</v>
      </c>
      <c r="P70" s="95">
        <f t="shared" si="12"/>
        <v>0</v>
      </c>
      <c r="Q70" s="95">
        <f t="shared" si="13"/>
        <v>0</v>
      </c>
      <c r="R70" s="95">
        <f t="shared" si="14"/>
        <v>0</v>
      </c>
      <c r="S70" s="3" t="str">
        <f t="shared" si="15"/>
        <v>Leistungswert eintragen</v>
      </c>
      <c r="U70" s="3">
        <f t="shared" si="16"/>
        <v>14</v>
      </c>
      <c r="V70" s="3">
        <f t="shared" si="17"/>
        <v>4.2</v>
      </c>
      <c r="W70" s="3">
        <f t="shared" si="18"/>
        <v>18.2</v>
      </c>
      <c r="X70" s="3" t="str">
        <f t="shared" si="19"/>
        <v/>
      </c>
    </row>
    <row r="71" spans="1:24" ht="15" customHeight="1" x14ac:dyDescent="0.2">
      <c r="A71" s="153">
        <v>50</v>
      </c>
      <c r="B71" s="165"/>
      <c r="C71" s="166" t="s">
        <v>276</v>
      </c>
      <c r="D71" s="166" t="s">
        <v>325</v>
      </c>
      <c r="E71" s="166" t="s">
        <v>310</v>
      </c>
      <c r="F71" s="166" t="s">
        <v>334</v>
      </c>
      <c r="G71" s="167">
        <v>1.75</v>
      </c>
      <c r="H71" s="167"/>
      <c r="I71" s="167"/>
      <c r="J71" s="153" t="s">
        <v>310</v>
      </c>
      <c r="K71" s="153" t="s">
        <v>168</v>
      </c>
      <c r="L71" s="95">
        <f>VLOOKUP(K71,Reinigungstage!A10:O31,15,FALSE)</f>
        <v>1</v>
      </c>
      <c r="M71" s="95">
        <f t="shared" si="10"/>
        <v>1.75</v>
      </c>
      <c r="N71" s="168">
        <f t="shared" si="11"/>
        <v>0</v>
      </c>
      <c r="O71" s="95">
        <f ca="1">IF('SVS GrundRG'!H61="",0,'SVS GrundRG'!H61)</f>
        <v>0</v>
      </c>
      <c r="P71" s="95">
        <f t="shared" si="12"/>
        <v>0</v>
      </c>
      <c r="Q71" s="95">
        <f t="shared" si="13"/>
        <v>0</v>
      </c>
      <c r="R71" s="95">
        <f t="shared" si="14"/>
        <v>0</v>
      </c>
      <c r="S71" s="3" t="str">
        <f t="shared" si="15"/>
        <v>Leistungswert eintragen</v>
      </c>
      <c r="U71" s="3">
        <f t="shared" si="16"/>
        <v>14</v>
      </c>
      <c r="V71" s="3">
        <f t="shared" si="17"/>
        <v>4.2</v>
      </c>
      <c r="W71" s="3">
        <f t="shared" si="18"/>
        <v>18.2</v>
      </c>
      <c r="X71" s="3" t="str">
        <f t="shared" si="19"/>
        <v/>
      </c>
    </row>
    <row r="72" spans="1:24" ht="15" customHeight="1" x14ac:dyDescent="0.2">
      <c r="A72" s="153">
        <v>51</v>
      </c>
      <c r="B72" s="165"/>
      <c r="C72" s="166" t="s">
        <v>276</v>
      </c>
      <c r="D72" s="166" t="s">
        <v>335</v>
      </c>
      <c r="E72" s="166" t="s">
        <v>310</v>
      </c>
      <c r="F72" s="166" t="s">
        <v>293</v>
      </c>
      <c r="G72" s="167">
        <v>5.51</v>
      </c>
      <c r="H72" s="167"/>
      <c r="I72" s="167"/>
      <c r="J72" s="153" t="s">
        <v>310</v>
      </c>
      <c r="K72" s="153" t="s">
        <v>168</v>
      </c>
      <c r="L72" s="95">
        <f>VLOOKUP(K72,Reinigungstage!A10:O31,15,FALSE)</f>
        <v>1</v>
      </c>
      <c r="M72" s="95">
        <f t="shared" si="10"/>
        <v>5.51</v>
      </c>
      <c r="N72" s="168">
        <f t="shared" si="11"/>
        <v>0</v>
      </c>
      <c r="O72" s="95">
        <f ca="1">IF('SVS GrundRG'!H61="",0,'SVS GrundRG'!H61)</f>
        <v>0</v>
      </c>
      <c r="P72" s="95">
        <f t="shared" si="12"/>
        <v>0</v>
      </c>
      <c r="Q72" s="95">
        <f t="shared" si="13"/>
        <v>0</v>
      </c>
      <c r="R72" s="95">
        <f t="shared" si="14"/>
        <v>0</v>
      </c>
      <c r="S72" s="3" t="str">
        <f t="shared" si="15"/>
        <v>Leistungswert eintragen</v>
      </c>
      <c r="U72" s="3">
        <f t="shared" si="16"/>
        <v>14</v>
      </c>
      <c r="V72" s="3">
        <f t="shared" si="17"/>
        <v>4.2</v>
      </c>
      <c r="W72" s="3">
        <f t="shared" si="18"/>
        <v>18.2</v>
      </c>
      <c r="X72" s="3" t="str">
        <f t="shared" si="19"/>
        <v/>
      </c>
    </row>
    <row r="73" spans="1:24" ht="15" customHeight="1" x14ac:dyDescent="0.2">
      <c r="A73" s="153">
        <v>52</v>
      </c>
      <c r="B73" s="165" t="s">
        <v>360</v>
      </c>
      <c r="C73" s="166" t="s">
        <v>276</v>
      </c>
      <c r="D73" s="166" t="s">
        <v>335</v>
      </c>
      <c r="E73" s="166" t="s">
        <v>283</v>
      </c>
      <c r="F73" s="166" t="s">
        <v>293</v>
      </c>
      <c r="G73" s="167">
        <v>55.92</v>
      </c>
      <c r="H73" s="167"/>
      <c r="I73" s="167">
        <v>2</v>
      </c>
      <c r="J73" s="153" t="s">
        <v>313</v>
      </c>
      <c r="K73" s="153" t="s">
        <v>168</v>
      </c>
      <c r="L73" s="95">
        <f>VLOOKUP(K73,Reinigungstage!A10:O31,15,FALSE)</f>
        <v>1</v>
      </c>
      <c r="M73" s="95">
        <f t="shared" si="10"/>
        <v>55.92</v>
      </c>
      <c r="N73" s="168">
        <f t="shared" si="11"/>
        <v>0</v>
      </c>
      <c r="O73" s="95">
        <f ca="1">IF('SVS GrundRG'!H61="",0,'SVS GrundRG'!H61)</f>
        <v>0</v>
      </c>
      <c r="P73" s="95">
        <f t="shared" si="12"/>
        <v>0</v>
      </c>
      <c r="Q73" s="95">
        <f t="shared" si="13"/>
        <v>0</v>
      </c>
      <c r="R73" s="95">
        <f t="shared" si="14"/>
        <v>0</v>
      </c>
      <c r="S73" s="3" t="str">
        <f t="shared" si="15"/>
        <v>Leistungswert eintragen</v>
      </c>
      <c r="U73" s="3">
        <f t="shared" si="16"/>
        <v>24</v>
      </c>
      <c r="V73" s="3">
        <f t="shared" si="17"/>
        <v>7.1999999999999993</v>
      </c>
      <c r="W73" s="3">
        <f t="shared" si="18"/>
        <v>31.2</v>
      </c>
      <c r="X73" s="3" t="str">
        <f t="shared" si="19"/>
        <v/>
      </c>
    </row>
    <row r="74" spans="1:24" ht="15" customHeight="1" x14ac:dyDescent="0.2">
      <c r="A74" s="153">
        <v>53</v>
      </c>
      <c r="B74" s="165"/>
      <c r="C74" s="166" t="s">
        <v>276</v>
      </c>
      <c r="D74" s="166" t="s">
        <v>335</v>
      </c>
      <c r="E74" s="166" t="s">
        <v>361</v>
      </c>
      <c r="F74" s="166" t="s">
        <v>362</v>
      </c>
      <c r="G74" s="167">
        <v>1.8</v>
      </c>
      <c r="H74" s="167"/>
      <c r="I74" s="167"/>
      <c r="J74" s="153" t="s">
        <v>310</v>
      </c>
      <c r="K74" s="153" t="s">
        <v>168</v>
      </c>
      <c r="L74" s="95">
        <f>VLOOKUP(K74,Reinigungstage!A10:O31,15,FALSE)</f>
        <v>1</v>
      </c>
      <c r="M74" s="95">
        <f t="shared" si="10"/>
        <v>1.8</v>
      </c>
      <c r="N74" s="168">
        <f t="shared" si="11"/>
        <v>0</v>
      </c>
      <c r="O74" s="95">
        <f ca="1">IF('SVS GrundRG'!H61="",0,'SVS GrundRG'!H61)</f>
        <v>0</v>
      </c>
      <c r="P74" s="95">
        <f t="shared" si="12"/>
        <v>0</v>
      </c>
      <c r="Q74" s="95">
        <f t="shared" si="13"/>
        <v>0</v>
      </c>
      <c r="R74" s="95">
        <f t="shared" si="14"/>
        <v>0</v>
      </c>
      <c r="S74" s="3" t="str">
        <f t="shared" si="15"/>
        <v>Leistungswert eintragen</v>
      </c>
      <c r="U74" s="3">
        <f t="shared" si="16"/>
        <v>14</v>
      </c>
      <c r="V74" s="3">
        <f t="shared" si="17"/>
        <v>4.2</v>
      </c>
      <c r="W74" s="3">
        <f t="shared" si="18"/>
        <v>18.2</v>
      </c>
      <c r="X74" s="3" t="str">
        <f t="shared" si="19"/>
        <v/>
      </c>
    </row>
    <row r="75" spans="1:24" ht="15" customHeight="1" x14ac:dyDescent="0.2">
      <c r="A75" s="153">
        <v>54</v>
      </c>
      <c r="B75" s="165"/>
      <c r="C75" s="166" t="s">
        <v>276</v>
      </c>
      <c r="D75" s="166" t="s">
        <v>335</v>
      </c>
      <c r="E75" s="166" t="s">
        <v>296</v>
      </c>
      <c r="F75" s="166" t="s">
        <v>293</v>
      </c>
      <c r="G75" s="167">
        <v>6.7</v>
      </c>
      <c r="H75" s="167"/>
      <c r="I75" s="167"/>
      <c r="J75" s="153" t="s">
        <v>314</v>
      </c>
      <c r="K75" s="153" t="s">
        <v>168</v>
      </c>
      <c r="L75" s="95">
        <f>VLOOKUP(K75,Reinigungstage!A10:O31,15,FALSE)</f>
        <v>1</v>
      </c>
      <c r="M75" s="95">
        <f t="shared" si="10"/>
        <v>6.7</v>
      </c>
      <c r="N75" s="168">
        <f t="shared" si="11"/>
        <v>0</v>
      </c>
      <c r="O75" s="95">
        <f ca="1">IF('SVS GrundRG'!H61="",0,'SVS GrundRG'!H61)</f>
        <v>0</v>
      </c>
      <c r="P75" s="95">
        <f t="shared" si="12"/>
        <v>0</v>
      </c>
      <c r="Q75" s="95">
        <f t="shared" si="13"/>
        <v>0</v>
      </c>
      <c r="R75" s="95">
        <f t="shared" si="14"/>
        <v>0</v>
      </c>
      <c r="S75" s="3" t="str">
        <f t="shared" si="15"/>
        <v>Leistungswert eintragen</v>
      </c>
      <c r="U75" s="3">
        <f t="shared" si="16"/>
        <v>7</v>
      </c>
      <c r="V75" s="3">
        <f t="shared" si="17"/>
        <v>2.1</v>
      </c>
      <c r="W75" s="3">
        <f t="shared" si="18"/>
        <v>9.1</v>
      </c>
      <c r="X75" s="3" t="str">
        <f t="shared" si="19"/>
        <v/>
      </c>
    </row>
    <row r="76" spans="1:24" ht="15" customHeight="1" x14ac:dyDescent="0.2">
      <c r="A76" s="153">
        <v>55</v>
      </c>
      <c r="B76" s="165" t="s">
        <v>363</v>
      </c>
      <c r="C76" s="166" t="s">
        <v>276</v>
      </c>
      <c r="D76" s="166" t="s">
        <v>335</v>
      </c>
      <c r="E76" s="166" t="s">
        <v>364</v>
      </c>
      <c r="F76" s="166" t="s">
        <v>287</v>
      </c>
      <c r="G76" s="167">
        <v>96.74</v>
      </c>
      <c r="H76" s="167"/>
      <c r="I76" s="167"/>
      <c r="J76" s="153" t="s">
        <v>404</v>
      </c>
      <c r="K76" s="153" t="s">
        <v>168</v>
      </c>
      <c r="L76" s="95">
        <f>VLOOKUP(K76,Reinigungstage!A10:O31,15,FALSE)</f>
        <v>1</v>
      </c>
      <c r="M76" s="95">
        <f t="shared" si="10"/>
        <v>96.74</v>
      </c>
      <c r="N76" s="168">
        <f t="shared" si="11"/>
        <v>0</v>
      </c>
      <c r="O76" s="95">
        <f ca="1">IF('SVS GrundRG'!H61="",0,'SVS GrundRG'!H61)</f>
        <v>0</v>
      </c>
      <c r="P76" s="95">
        <f t="shared" si="12"/>
        <v>0</v>
      </c>
      <c r="Q76" s="95">
        <f t="shared" si="13"/>
        <v>0</v>
      </c>
      <c r="R76" s="95">
        <f t="shared" si="14"/>
        <v>0</v>
      </c>
      <c r="S76" s="3" t="str">
        <f t="shared" si="15"/>
        <v>Leistungswert eintragen</v>
      </c>
      <c r="U76" s="3">
        <f t="shared" si="16"/>
        <v>16.5</v>
      </c>
      <c r="V76" s="3">
        <f t="shared" si="17"/>
        <v>4.95</v>
      </c>
      <c r="W76" s="3">
        <f t="shared" si="18"/>
        <v>21.45</v>
      </c>
      <c r="X76" s="3" t="str">
        <f t="shared" si="19"/>
        <v/>
      </c>
    </row>
    <row r="77" spans="1:24" ht="15" customHeight="1" x14ac:dyDescent="0.2">
      <c r="A77" s="153">
        <v>56</v>
      </c>
      <c r="B77" s="165" t="s">
        <v>365</v>
      </c>
      <c r="C77" s="166" t="s">
        <v>276</v>
      </c>
      <c r="D77" s="166" t="s">
        <v>335</v>
      </c>
      <c r="E77" s="166" t="s">
        <v>366</v>
      </c>
      <c r="F77" s="166" t="s">
        <v>293</v>
      </c>
      <c r="G77" s="167">
        <v>19.02</v>
      </c>
      <c r="H77" s="167"/>
      <c r="I77" s="167"/>
      <c r="J77" s="153" t="s">
        <v>401</v>
      </c>
      <c r="K77" s="153" t="s">
        <v>168</v>
      </c>
      <c r="L77" s="95">
        <f>VLOOKUP(K77,Reinigungstage!A10:O31,15,FALSE)</f>
        <v>1</v>
      </c>
      <c r="M77" s="95">
        <f t="shared" si="10"/>
        <v>19.02</v>
      </c>
      <c r="N77" s="168">
        <f t="shared" si="11"/>
        <v>0</v>
      </c>
      <c r="O77" s="95">
        <f ca="1">IF('SVS GrundRG'!H61="",0,'SVS GrundRG'!H61)</f>
        <v>0</v>
      </c>
      <c r="P77" s="95">
        <f t="shared" si="12"/>
        <v>0</v>
      </c>
      <c r="Q77" s="95">
        <f t="shared" si="13"/>
        <v>0</v>
      </c>
      <c r="R77" s="95">
        <f t="shared" si="14"/>
        <v>0</v>
      </c>
      <c r="S77" s="3" t="str">
        <f t="shared" si="15"/>
        <v>Leistungswert eintragen</v>
      </c>
      <c r="U77" s="3">
        <f t="shared" si="16"/>
        <v>14</v>
      </c>
      <c r="V77" s="3">
        <f t="shared" si="17"/>
        <v>4.2</v>
      </c>
      <c r="W77" s="3">
        <f t="shared" si="18"/>
        <v>18.2</v>
      </c>
      <c r="X77" s="3" t="str">
        <f t="shared" si="19"/>
        <v/>
      </c>
    </row>
    <row r="78" spans="1:24" ht="15" customHeight="1" x14ac:dyDescent="0.2">
      <c r="A78" s="153">
        <v>57</v>
      </c>
      <c r="B78" s="165" t="s">
        <v>367</v>
      </c>
      <c r="C78" s="166" t="s">
        <v>276</v>
      </c>
      <c r="D78" s="166" t="s">
        <v>335</v>
      </c>
      <c r="E78" s="166" t="s">
        <v>368</v>
      </c>
      <c r="F78" s="166" t="s">
        <v>287</v>
      </c>
      <c r="G78" s="167">
        <v>29.88</v>
      </c>
      <c r="H78" s="167"/>
      <c r="I78" s="167"/>
      <c r="J78" s="153" t="s">
        <v>315</v>
      </c>
      <c r="K78" s="153" t="s">
        <v>168</v>
      </c>
      <c r="L78" s="95">
        <f>VLOOKUP(K78,Reinigungstage!A10:O31,15,FALSE)</f>
        <v>1</v>
      </c>
      <c r="M78" s="95">
        <f t="shared" si="10"/>
        <v>29.88</v>
      </c>
      <c r="N78" s="168">
        <f t="shared" si="11"/>
        <v>0</v>
      </c>
      <c r="O78" s="95">
        <f ca="1">IF('SVS GrundRG'!H61="",0,'SVS GrundRG'!H61)</f>
        <v>0</v>
      </c>
      <c r="P78" s="95">
        <f t="shared" si="12"/>
        <v>0</v>
      </c>
      <c r="Q78" s="95">
        <f t="shared" si="13"/>
        <v>0</v>
      </c>
      <c r="R78" s="95">
        <f t="shared" si="14"/>
        <v>0</v>
      </c>
      <c r="S78" s="3" t="str">
        <f t="shared" si="15"/>
        <v>Leistungswert eintragen</v>
      </c>
      <c r="U78" s="3">
        <f t="shared" si="16"/>
        <v>15</v>
      </c>
      <c r="V78" s="3">
        <f t="shared" si="17"/>
        <v>4.5</v>
      </c>
      <c r="W78" s="3">
        <f t="shared" si="18"/>
        <v>19.5</v>
      </c>
      <c r="X78" s="3" t="str">
        <f t="shared" si="19"/>
        <v/>
      </c>
    </row>
    <row r="79" spans="1:24" ht="15" customHeight="1" x14ac:dyDescent="0.2">
      <c r="A79" s="153">
        <v>58</v>
      </c>
      <c r="B79" s="165"/>
      <c r="C79" s="166" t="s">
        <v>276</v>
      </c>
      <c r="D79" s="166" t="s">
        <v>335</v>
      </c>
      <c r="E79" s="166" t="s">
        <v>309</v>
      </c>
      <c r="F79" s="166" t="s">
        <v>369</v>
      </c>
      <c r="G79" s="167">
        <v>20.02</v>
      </c>
      <c r="H79" s="167"/>
      <c r="I79" s="167"/>
      <c r="J79" s="153" t="s">
        <v>310</v>
      </c>
      <c r="K79" s="153" t="s">
        <v>168</v>
      </c>
      <c r="L79" s="95">
        <f>VLOOKUP(K79,Reinigungstage!A10:O31,15,FALSE)</f>
        <v>1</v>
      </c>
      <c r="M79" s="95">
        <f t="shared" si="10"/>
        <v>20.02</v>
      </c>
      <c r="N79" s="168">
        <f t="shared" si="11"/>
        <v>0</v>
      </c>
      <c r="O79" s="95">
        <f ca="1">IF('SVS GrundRG'!H61="",0,'SVS GrundRG'!H61)</f>
        <v>0</v>
      </c>
      <c r="P79" s="95">
        <f t="shared" si="12"/>
        <v>0</v>
      </c>
      <c r="Q79" s="95">
        <f t="shared" si="13"/>
        <v>0</v>
      </c>
      <c r="R79" s="95">
        <f t="shared" si="14"/>
        <v>0</v>
      </c>
      <c r="S79" s="3" t="str">
        <f t="shared" si="15"/>
        <v>Leistungswert eintragen</v>
      </c>
      <c r="U79" s="3">
        <f t="shared" si="16"/>
        <v>14</v>
      </c>
      <c r="V79" s="3">
        <f t="shared" si="17"/>
        <v>4.2</v>
      </c>
      <c r="W79" s="3">
        <f t="shared" si="18"/>
        <v>18.2</v>
      </c>
      <c r="X79" s="3" t="str">
        <f t="shared" si="19"/>
        <v/>
      </c>
    </row>
    <row r="80" spans="1:24" ht="15" customHeight="1" x14ac:dyDescent="0.2">
      <c r="A80" s="153">
        <v>59</v>
      </c>
      <c r="B80" s="165"/>
      <c r="C80" s="166" t="s">
        <v>276</v>
      </c>
      <c r="D80" s="166" t="s">
        <v>335</v>
      </c>
      <c r="E80" s="166" t="s">
        <v>339</v>
      </c>
      <c r="F80" s="166" t="s">
        <v>287</v>
      </c>
      <c r="G80" s="167">
        <v>7.58</v>
      </c>
      <c r="H80" s="167"/>
      <c r="I80" s="167"/>
      <c r="J80" s="153" t="s">
        <v>312</v>
      </c>
      <c r="K80" s="153" t="s">
        <v>168</v>
      </c>
      <c r="L80" s="95">
        <f>VLOOKUP(K80,Reinigungstage!A10:O31,15,FALSE)</f>
        <v>1</v>
      </c>
      <c r="M80" s="95">
        <f t="shared" si="10"/>
        <v>7.58</v>
      </c>
      <c r="N80" s="168">
        <f t="shared" si="11"/>
        <v>0</v>
      </c>
      <c r="O80" s="95">
        <f ca="1">IF('SVS GrundRG'!H61="",0,'SVS GrundRG'!H61)</f>
        <v>0</v>
      </c>
      <c r="P80" s="95">
        <f t="shared" si="12"/>
        <v>0</v>
      </c>
      <c r="Q80" s="95">
        <f t="shared" si="13"/>
        <v>0</v>
      </c>
      <c r="R80" s="95">
        <f t="shared" si="14"/>
        <v>0</v>
      </c>
      <c r="S80" s="3" t="str">
        <f t="shared" si="15"/>
        <v>Leistungswert eintragen</v>
      </c>
      <c r="U80" s="3">
        <f t="shared" si="16"/>
        <v>20</v>
      </c>
      <c r="V80" s="3">
        <f t="shared" si="17"/>
        <v>6</v>
      </c>
      <c r="W80" s="3">
        <f t="shared" si="18"/>
        <v>26</v>
      </c>
      <c r="X80" s="3" t="str">
        <f t="shared" si="19"/>
        <v/>
      </c>
    </row>
    <row r="81" spans="1:24" ht="15" customHeight="1" x14ac:dyDescent="0.2">
      <c r="A81" s="153">
        <v>60</v>
      </c>
      <c r="B81" s="165" t="s">
        <v>370</v>
      </c>
      <c r="C81" s="166" t="s">
        <v>276</v>
      </c>
      <c r="D81" s="166" t="s">
        <v>335</v>
      </c>
      <c r="E81" s="166" t="s">
        <v>371</v>
      </c>
      <c r="F81" s="166" t="s">
        <v>287</v>
      </c>
      <c r="G81" s="167">
        <v>10.84</v>
      </c>
      <c r="H81" s="167"/>
      <c r="I81" s="167"/>
      <c r="J81" s="153" t="s">
        <v>315</v>
      </c>
      <c r="K81" s="153" t="s">
        <v>168</v>
      </c>
      <c r="L81" s="95">
        <f>VLOOKUP(K81,Reinigungstage!A10:O31,15,FALSE)</f>
        <v>1</v>
      </c>
      <c r="M81" s="95">
        <f t="shared" si="10"/>
        <v>10.84</v>
      </c>
      <c r="N81" s="168">
        <f t="shared" si="11"/>
        <v>0</v>
      </c>
      <c r="O81" s="95">
        <f ca="1">IF('SVS GrundRG'!H61="",0,'SVS GrundRG'!H61)</f>
        <v>0</v>
      </c>
      <c r="P81" s="95">
        <f t="shared" si="12"/>
        <v>0</v>
      </c>
      <c r="Q81" s="95">
        <f t="shared" si="13"/>
        <v>0</v>
      </c>
      <c r="R81" s="95">
        <f t="shared" si="14"/>
        <v>0</v>
      </c>
      <c r="S81" s="3" t="str">
        <f t="shared" si="15"/>
        <v>Leistungswert eintragen</v>
      </c>
      <c r="U81" s="3">
        <f t="shared" si="16"/>
        <v>15</v>
      </c>
      <c r="V81" s="3">
        <f t="shared" si="17"/>
        <v>4.5</v>
      </c>
      <c r="W81" s="3">
        <f t="shared" si="18"/>
        <v>19.5</v>
      </c>
      <c r="X81" s="3" t="str">
        <f t="shared" si="19"/>
        <v/>
      </c>
    </row>
    <row r="82" spans="1:24" ht="15" customHeight="1" x14ac:dyDescent="0.2">
      <c r="A82" s="153">
        <v>61</v>
      </c>
      <c r="B82" s="165" t="s">
        <v>372</v>
      </c>
      <c r="C82" s="166" t="s">
        <v>276</v>
      </c>
      <c r="D82" s="166" t="s">
        <v>335</v>
      </c>
      <c r="E82" s="166" t="s">
        <v>373</v>
      </c>
      <c r="F82" s="166" t="s">
        <v>287</v>
      </c>
      <c r="G82" s="167">
        <v>16.29</v>
      </c>
      <c r="H82" s="167"/>
      <c r="I82" s="167"/>
      <c r="J82" s="153" t="s">
        <v>402</v>
      </c>
      <c r="K82" s="153" t="s">
        <v>168</v>
      </c>
      <c r="L82" s="95">
        <f>VLOOKUP(K82,Reinigungstage!A10:O31,15,FALSE)</f>
        <v>1</v>
      </c>
      <c r="M82" s="95">
        <f t="shared" si="10"/>
        <v>16.29</v>
      </c>
      <c r="N82" s="168">
        <f t="shared" si="11"/>
        <v>0</v>
      </c>
      <c r="O82" s="95">
        <f ca="1">IF('SVS GrundRG'!H61="",0,'SVS GrundRG'!H61)</f>
        <v>0</v>
      </c>
      <c r="P82" s="95">
        <f t="shared" si="12"/>
        <v>0</v>
      </c>
      <c r="Q82" s="95">
        <f t="shared" si="13"/>
        <v>0</v>
      </c>
      <c r="R82" s="95">
        <f t="shared" si="14"/>
        <v>0</v>
      </c>
      <c r="S82" s="3" t="str">
        <f t="shared" si="15"/>
        <v>Leistungswert eintragen</v>
      </c>
      <c r="U82" s="3">
        <f t="shared" si="16"/>
        <v>13</v>
      </c>
      <c r="V82" s="3">
        <f t="shared" si="17"/>
        <v>3.9</v>
      </c>
      <c r="W82" s="3">
        <f t="shared" si="18"/>
        <v>16.899999999999999</v>
      </c>
      <c r="X82" s="3" t="str">
        <f t="shared" si="19"/>
        <v/>
      </c>
    </row>
    <row r="83" spans="1:24" ht="15" customHeight="1" x14ac:dyDescent="0.2">
      <c r="A83" s="153">
        <v>62</v>
      </c>
      <c r="B83" s="165" t="s">
        <v>374</v>
      </c>
      <c r="C83" s="166" t="s">
        <v>276</v>
      </c>
      <c r="D83" s="166" t="s">
        <v>335</v>
      </c>
      <c r="E83" s="166" t="s">
        <v>375</v>
      </c>
      <c r="F83" s="166" t="s">
        <v>287</v>
      </c>
      <c r="G83" s="167">
        <v>14.99</v>
      </c>
      <c r="H83" s="167"/>
      <c r="I83" s="167"/>
      <c r="J83" s="153" t="s">
        <v>402</v>
      </c>
      <c r="K83" s="153" t="s">
        <v>168</v>
      </c>
      <c r="L83" s="95">
        <f>VLOOKUP(K83,Reinigungstage!A10:O31,15,FALSE)</f>
        <v>1</v>
      </c>
      <c r="M83" s="95">
        <f t="shared" si="10"/>
        <v>14.99</v>
      </c>
      <c r="N83" s="168">
        <f t="shared" si="11"/>
        <v>0</v>
      </c>
      <c r="O83" s="95">
        <f ca="1">IF('SVS GrundRG'!H61="",0,'SVS GrundRG'!H61)</f>
        <v>0</v>
      </c>
      <c r="P83" s="95">
        <f t="shared" si="12"/>
        <v>0</v>
      </c>
      <c r="Q83" s="95">
        <f t="shared" si="13"/>
        <v>0</v>
      </c>
      <c r="R83" s="95">
        <f t="shared" si="14"/>
        <v>0</v>
      </c>
      <c r="S83" s="3" t="str">
        <f t="shared" si="15"/>
        <v>Leistungswert eintragen</v>
      </c>
      <c r="U83" s="3">
        <f t="shared" si="16"/>
        <v>13</v>
      </c>
      <c r="V83" s="3">
        <f t="shared" si="17"/>
        <v>3.9</v>
      </c>
      <c r="W83" s="3">
        <f t="shared" si="18"/>
        <v>16.899999999999999</v>
      </c>
      <c r="X83" s="3" t="str">
        <f t="shared" si="19"/>
        <v/>
      </c>
    </row>
    <row r="84" spans="1:24" ht="15" customHeight="1" x14ac:dyDescent="0.2">
      <c r="A84" s="153">
        <v>63</v>
      </c>
      <c r="B84" s="165"/>
      <c r="C84" s="166" t="s">
        <v>276</v>
      </c>
      <c r="D84" s="166" t="s">
        <v>335</v>
      </c>
      <c r="E84" s="166" t="s">
        <v>288</v>
      </c>
      <c r="F84" s="166" t="s">
        <v>287</v>
      </c>
      <c r="G84" s="167">
        <v>28.99</v>
      </c>
      <c r="H84" s="167"/>
      <c r="I84" s="167"/>
      <c r="J84" s="153" t="s">
        <v>313</v>
      </c>
      <c r="K84" s="153" t="s">
        <v>168</v>
      </c>
      <c r="L84" s="95">
        <f>VLOOKUP(K84,Reinigungstage!A10:O31,15,FALSE)</f>
        <v>1</v>
      </c>
      <c r="M84" s="95">
        <f t="shared" si="10"/>
        <v>28.99</v>
      </c>
      <c r="N84" s="168">
        <f t="shared" si="11"/>
        <v>0</v>
      </c>
      <c r="O84" s="95">
        <f ca="1">IF('SVS GrundRG'!H61="",0,'SVS GrundRG'!H61)</f>
        <v>0</v>
      </c>
      <c r="P84" s="95">
        <f t="shared" si="12"/>
        <v>0</v>
      </c>
      <c r="Q84" s="95">
        <f t="shared" si="13"/>
        <v>0</v>
      </c>
      <c r="R84" s="95">
        <f t="shared" si="14"/>
        <v>0</v>
      </c>
      <c r="S84" s="3" t="str">
        <f t="shared" si="15"/>
        <v>Leistungswert eintragen</v>
      </c>
      <c r="U84" s="3">
        <f t="shared" si="16"/>
        <v>24</v>
      </c>
      <c r="V84" s="3">
        <f t="shared" si="17"/>
        <v>7.1999999999999993</v>
      </c>
      <c r="W84" s="3">
        <f t="shared" si="18"/>
        <v>31.2</v>
      </c>
      <c r="X84" s="3" t="str">
        <f t="shared" si="19"/>
        <v/>
      </c>
    </row>
    <row r="85" spans="1:24" ht="15" customHeight="1" x14ac:dyDescent="0.2">
      <c r="A85" s="153">
        <v>64</v>
      </c>
      <c r="B85" s="165"/>
      <c r="C85" s="166" t="s">
        <v>276</v>
      </c>
      <c r="D85" s="166" t="s">
        <v>317</v>
      </c>
      <c r="E85" s="166" t="s">
        <v>376</v>
      </c>
      <c r="F85" s="166" t="s">
        <v>287</v>
      </c>
      <c r="G85" s="167">
        <v>4.5</v>
      </c>
      <c r="H85" s="167"/>
      <c r="I85" s="167"/>
      <c r="J85" s="153" t="s">
        <v>313</v>
      </c>
      <c r="K85" s="153" t="s">
        <v>168</v>
      </c>
      <c r="L85" s="95">
        <f>VLOOKUP(K85,Reinigungstage!A10:O31,15,FALSE)</f>
        <v>1</v>
      </c>
      <c r="M85" s="95">
        <f t="shared" ref="M85:M105" si="20">ROUND(IF(L85=0,0,L85*G85),2)</f>
        <v>4.5</v>
      </c>
      <c r="N85" s="168">
        <f t="shared" ref="N85:N105" si="21">VLOOKUP(J85,$G$4:$H$13,2,FALSE)</f>
        <v>0</v>
      </c>
      <c r="O85" s="95">
        <f ca="1">IF('SVS GrundRG'!H61="",0,'SVS GrundRG'!H61)</f>
        <v>0</v>
      </c>
      <c r="P85" s="95">
        <f t="shared" ref="P85:P105" si="22">ROUND(IF(N85=0,0,M85/N85),2)</f>
        <v>0</v>
      </c>
      <c r="Q85" s="95">
        <f t="shared" ref="Q85:Q105" si="23">ROUND(IF(P85=0,0,P85*O85),2)</f>
        <v>0</v>
      </c>
      <c r="R85" s="95">
        <f t="shared" ref="R85:R105" si="24">ROUND(IF(P85=0,0,Q85/L85),2)</f>
        <v>0</v>
      </c>
      <c r="S85" s="3" t="str">
        <f t="shared" ref="S85:S105" si="25">IF(M85=0,"",IF(N85=0,"Leistungswert eintragen",IF(O85=0,"SVS prüfen","")))</f>
        <v>Leistungswert eintragen</v>
      </c>
      <c r="U85" s="3">
        <f t="shared" ref="U85:U105" si="26">VLOOKUP(J85,$U$4:$V$13,2,FALSE)</f>
        <v>24</v>
      </c>
      <c r="V85" s="3">
        <f t="shared" ref="V85:V105" si="27">U85*30%</f>
        <v>7.1999999999999993</v>
      </c>
      <c r="W85" s="3">
        <f t="shared" ref="W85:W105" si="28">SUM(U85:V85)</f>
        <v>31.2</v>
      </c>
      <c r="X85" s="3" t="str">
        <f t="shared" ref="X85:X105" si="29">IF(N85=0,"",IF(W85&lt;N85,1,IF(W85&gt;=N85,0,"")))</f>
        <v/>
      </c>
    </row>
    <row r="86" spans="1:24" ht="15" customHeight="1" x14ac:dyDescent="0.2">
      <c r="A86" s="153">
        <v>65</v>
      </c>
      <c r="B86" s="165"/>
      <c r="C86" s="166" t="s">
        <v>276</v>
      </c>
      <c r="D86" s="166" t="s">
        <v>317</v>
      </c>
      <c r="E86" s="166" t="s">
        <v>310</v>
      </c>
      <c r="F86" s="166" t="s">
        <v>334</v>
      </c>
      <c r="G86" s="167">
        <v>7.47</v>
      </c>
      <c r="H86" s="167"/>
      <c r="I86" s="167"/>
      <c r="J86" s="153" t="s">
        <v>310</v>
      </c>
      <c r="K86" s="153" t="s">
        <v>168</v>
      </c>
      <c r="L86" s="95">
        <f>VLOOKUP(K86,Reinigungstage!A10:O31,15,FALSE)</f>
        <v>1</v>
      </c>
      <c r="M86" s="95">
        <f t="shared" si="20"/>
        <v>7.47</v>
      </c>
      <c r="N86" s="168">
        <f t="shared" si="21"/>
        <v>0</v>
      </c>
      <c r="O86" s="95">
        <f ca="1">IF('SVS GrundRG'!H61="",0,'SVS GrundRG'!H61)</f>
        <v>0</v>
      </c>
      <c r="P86" s="95">
        <f t="shared" si="22"/>
        <v>0</v>
      </c>
      <c r="Q86" s="95">
        <f t="shared" si="23"/>
        <v>0</v>
      </c>
      <c r="R86" s="95">
        <f t="shared" si="24"/>
        <v>0</v>
      </c>
      <c r="S86" s="3" t="str">
        <f t="shared" si="25"/>
        <v>Leistungswert eintragen</v>
      </c>
      <c r="U86" s="3">
        <f t="shared" si="26"/>
        <v>14</v>
      </c>
      <c r="V86" s="3">
        <f t="shared" si="27"/>
        <v>4.2</v>
      </c>
      <c r="W86" s="3">
        <f t="shared" si="28"/>
        <v>18.2</v>
      </c>
      <c r="X86" s="3" t="str">
        <f t="shared" si="29"/>
        <v/>
      </c>
    </row>
    <row r="87" spans="1:24" ht="15" customHeight="1" x14ac:dyDescent="0.2">
      <c r="A87" s="153">
        <v>66</v>
      </c>
      <c r="B87" s="165"/>
      <c r="C87" s="166" t="s">
        <v>276</v>
      </c>
      <c r="D87" s="166" t="s">
        <v>317</v>
      </c>
      <c r="E87" s="166" t="s">
        <v>309</v>
      </c>
      <c r="F87" s="166" t="s">
        <v>334</v>
      </c>
      <c r="G87" s="167">
        <v>13.43</v>
      </c>
      <c r="H87" s="167"/>
      <c r="I87" s="167"/>
      <c r="J87" s="153" t="s">
        <v>310</v>
      </c>
      <c r="K87" s="153" t="s">
        <v>168</v>
      </c>
      <c r="L87" s="95">
        <f>VLOOKUP(K87,Reinigungstage!A10:O31,15,FALSE)</f>
        <v>1</v>
      </c>
      <c r="M87" s="95">
        <f t="shared" si="20"/>
        <v>13.43</v>
      </c>
      <c r="N87" s="168">
        <f t="shared" si="21"/>
        <v>0</v>
      </c>
      <c r="O87" s="95">
        <f ca="1">IF('SVS GrundRG'!H61="",0,'SVS GrundRG'!H61)</f>
        <v>0</v>
      </c>
      <c r="P87" s="95">
        <f t="shared" si="22"/>
        <v>0</v>
      </c>
      <c r="Q87" s="95">
        <f t="shared" si="23"/>
        <v>0</v>
      </c>
      <c r="R87" s="95">
        <f t="shared" si="24"/>
        <v>0</v>
      </c>
      <c r="S87" s="3" t="str">
        <f t="shared" si="25"/>
        <v>Leistungswert eintragen</v>
      </c>
      <c r="U87" s="3">
        <f t="shared" si="26"/>
        <v>14</v>
      </c>
      <c r="V87" s="3">
        <f t="shared" si="27"/>
        <v>4.2</v>
      </c>
      <c r="W87" s="3">
        <f t="shared" si="28"/>
        <v>18.2</v>
      </c>
      <c r="X87" s="3" t="str">
        <f t="shared" si="29"/>
        <v/>
      </c>
    </row>
    <row r="88" spans="1:24" ht="15" customHeight="1" x14ac:dyDescent="0.2">
      <c r="A88" s="153">
        <v>67</v>
      </c>
      <c r="B88" s="165"/>
      <c r="C88" s="166" t="s">
        <v>276</v>
      </c>
      <c r="D88" s="166" t="s">
        <v>317</v>
      </c>
      <c r="E88" s="166" t="s">
        <v>310</v>
      </c>
      <c r="F88" s="166" t="s">
        <v>334</v>
      </c>
      <c r="G88" s="167">
        <v>8.43</v>
      </c>
      <c r="H88" s="167"/>
      <c r="I88" s="167"/>
      <c r="J88" s="153" t="s">
        <v>310</v>
      </c>
      <c r="K88" s="153" t="s">
        <v>168</v>
      </c>
      <c r="L88" s="95">
        <f>VLOOKUP(K88,Reinigungstage!A10:O31,15,FALSE)</f>
        <v>1</v>
      </c>
      <c r="M88" s="95">
        <f t="shared" si="20"/>
        <v>8.43</v>
      </c>
      <c r="N88" s="168">
        <f t="shared" si="21"/>
        <v>0</v>
      </c>
      <c r="O88" s="95">
        <f ca="1">IF('SVS GrundRG'!H61="",0,'SVS GrundRG'!H61)</f>
        <v>0</v>
      </c>
      <c r="P88" s="95">
        <f t="shared" si="22"/>
        <v>0</v>
      </c>
      <c r="Q88" s="95">
        <f t="shared" si="23"/>
        <v>0</v>
      </c>
      <c r="R88" s="95">
        <f t="shared" si="24"/>
        <v>0</v>
      </c>
      <c r="S88" s="3" t="str">
        <f t="shared" si="25"/>
        <v>Leistungswert eintragen</v>
      </c>
      <c r="U88" s="3">
        <f t="shared" si="26"/>
        <v>14</v>
      </c>
      <c r="V88" s="3">
        <f t="shared" si="27"/>
        <v>4.2</v>
      </c>
      <c r="W88" s="3">
        <f t="shared" si="28"/>
        <v>18.2</v>
      </c>
      <c r="X88" s="3" t="str">
        <f t="shared" si="29"/>
        <v/>
      </c>
    </row>
    <row r="89" spans="1:24" ht="15" customHeight="1" x14ac:dyDescent="0.2">
      <c r="A89" s="153">
        <v>68</v>
      </c>
      <c r="B89" s="165"/>
      <c r="C89" s="166" t="s">
        <v>377</v>
      </c>
      <c r="D89" s="166" t="s">
        <v>317</v>
      </c>
      <c r="E89" s="166" t="s">
        <v>378</v>
      </c>
      <c r="F89" s="166" t="s">
        <v>379</v>
      </c>
      <c r="G89" s="167">
        <v>36.6</v>
      </c>
      <c r="H89" s="167"/>
      <c r="I89" s="167"/>
      <c r="J89" s="153" t="s">
        <v>313</v>
      </c>
      <c r="K89" s="153" t="s">
        <v>168</v>
      </c>
      <c r="L89" s="95">
        <f>VLOOKUP(K89,Reinigungstage!A10:O31,15,FALSE)</f>
        <v>1</v>
      </c>
      <c r="M89" s="95">
        <f t="shared" si="20"/>
        <v>36.6</v>
      </c>
      <c r="N89" s="168">
        <f t="shared" si="21"/>
        <v>0</v>
      </c>
      <c r="O89" s="95">
        <f ca="1">IF('SVS GrundRG'!H61="",0,'SVS GrundRG'!H61)</f>
        <v>0</v>
      </c>
      <c r="P89" s="95">
        <f t="shared" si="22"/>
        <v>0</v>
      </c>
      <c r="Q89" s="95">
        <f t="shared" si="23"/>
        <v>0</v>
      </c>
      <c r="R89" s="95">
        <f t="shared" si="24"/>
        <v>0</v>
      </c>
      <c r="S89" s="3" t="str">
        <f t="shared" si="25"/>
        <v>Leistungswert eintragen</v>
      </c>
      <c r="U89" s="3">
        <f t="shared" si="26"/>
        <v>24</v>
      </c>
      <c r="V89" s="3">
        <f t="shared" si="27"/>
        <v>7.1999999999999993</v>
      </c>
      <c r="W89" s="3">
        <f t="shared" si="28"/>
        <v>31.2</v>
      </c>
      <c r="X89" s="3" t="str">
        <f t="shared" si="29"/>
        <v/>
      </c>
    </row>
    <row r="90" spans="1:24" ht="15" customHeight="1" x14ac:dyDescent="0.2">
      <c r="A90" s="153">
        <v>69</v>
      </c>
      <c r="B90" s="165"/>
      <c r="C90" s="166" t="s">
        <v>377</v>
      </c>
      <c r="D90" s="166" t="s">
        <v>317</v>
      </c>
      <c r="E90" s="166" t="s">
        <v>380</v>
      </c>
      <c r="F90" s="166" t="s">
        <v>379</v>
      </c>
      <c r="G90" s="167">
        <v>26.34</v>
      </c>
      <c r="H90" s="167"/>
      <c r="I90" s="167"/>
      <c r="J90" s="153" t="s">
        <v>314</v>
      </c>
      <c r="K90" s="153" t="s">
        <v>168</v>
      </c>
      <c r="L90" s="95">
        <f>VLOOKUP(K90,Reinigungstage!A10:O31,15,FALSE)</f>
        <v>1</v>
      </c>
      <c r="M90" s="95">
        <f t="shared" si="20"/>
        <v>26.34</v>
      </c>
      <c r="N90" s="168">
        <f t="shared" si="21"/>
        <v>0</v>
      </c>
      <c r="O90" s="95">
        <f ca="1">IF('SVS GrundRG'!H61="",0,'SVS GrundRG'!H61)</f>
        <v>0</v>
      </c>
      <c r="P90" s="95">
        <f t="shared" si="22"/>
        <v>0</v>
      </c>
      <c r="Q90" s="95">
        <f t="shared" si="23"/>
        <v>0</v>
      </c>
      <c r="R90" s="95">
        <f t="shared" si="24"/>
        <v>0</v>
      </c>
      <c r="S90" s="3" t="str">
        <f t="shared" si="25"/>
        <v>Leistungswert eintragen</v>
      </c>
      <c r="U90" s="3">
        <f t="shared" si="26"/>
        <v>7</v>
      </c>
      <c r="V90" s="3">
        <f t="shared" si="27"/>
        <v>2.1</v>
      </c>
      <c r="W90" s="3">
        <f t="shared" si="28"/>
        <v>9.1</v>
      </c>
      <c r="X90" s="3" t="str">
        <f t="shared" si="29"/>
        <v/>
      </c>
    </row>
    <row r="91" spans="1:24" ht="15" customHeight="1" x14ac:dyDescent="0.2">
      <c r="A91" s="153">
        <v>70</v>
      </c>
      <c r="B91" s="165"/>
      <c r="C91" s="166" t="s">
        <v>377</v>
      </c>
      <c r="D91" s="166" t="s">
        <v>317</v>
      </c>
      <c r="E91" s="166" t="s">
        <v>381</v>
      </c>
      <c r="F91" s="166" t="s">
        <v>379</v>
      </c>
      <c r="G91" s="167">
        <v>18.170000000000002</v>
      </c>
      <c r="H91" s="167"/>
      <c r="I91" s="167"/>
      <c r="J91" s="153" t="s">
        <v>314</v>
      </c>
      <c r="K91" s="153" t="s">
        <v>168</v>
      </c>
      <c r="L91" s="95">
        <f>VLOOKUP(K91,Reinigungstage!A10:O31,15,FALSE)</f>
        <v>1</v>
      </c>
      <c r="M91" s="95">
        <f t="shared" si="20"/>
        <v>18.170000000000002</v>
      </c>
      <c r="N91" s="168">
        <f t="shared" si="21"/>
        <v>0</v>
      </c>
      <c r="O91" s="95">
        <f ca="1">IF('SVS GrundRG'!H61="",0,'SVS GrundRG'!H61)</f>
        <v>0</v>
      </c>
      <c r="P91" s="95">
        <f t="shared" si="22"/>
        <v>0</v>
      </c>
      <c r="Q91" s="95">
        <f t="shared" si="23"/>
        <v>0</v>
      </c>
      <c r="R91" s="95">
        <f t="shared" si="24"/>
        <v>0</v>
      </c>
      <c r="S91" s="3" t="str">
        <f t="shared" si="25"/>
        <v>Leistungswert eintragen</v>
      </c>
      <c r="U91" s="3">
        <f t="shared" si="26"/>
        <v>7</v>
      </c>
      <c r="V91" s="3">
        <f t="shared" si="27"/>
        <v>2.1</v>
      </c>
      <c r="W91" s="3">
        <f t="shared" si="28"/>
        <v>9.1</v>
      </c>
      <c r="X91" s="3" t="str">
        <f t="shared" si="29"/>
        <v/>
      </c>
    </row>
    <row r="92" spans="1:24" ht="15" customHeight="1" x14ac:dyDescent="0.2">
      <c r="A92" s="153">
        <v>71</v>
      </c>
      <c r="B92" s="165"/>
      <c r="C92" s="166" t="s">
        <v>377</v>
      </c>
      <c r="D92" s="166" t="s">
        <v>317</v>
      </c>
      <c r="E92" s="166" t="s">
        <v>382</v>
      </c>
      <c r="F92" s="166" t="s">
        <v>379</v>
      </c>
      <c r="G92" s="167">
        <v>7.44</v>
      </c>
      <c r="H92" s="167"/>
      <c r="I92" s="167"/>
      <c r="J92" s="153" t="s">
        <v>314</v>
      </c>
      <c r="K92" s="153" t="s">
        <v>168</v>
      </c>
      <c r="L92" s="95">
        <f>VLOOKUP(K92,Reinigungstage!A10:O31,15,FALSE)</f>
        <v>1</v>
      </c>
      <c r="M92" s="95">
        <f t="shared" si="20"/>
        <v>7.44</v>
      </c>
      <c r="N92" s="168">
        <f t="shared" si="21"/>
        <v>0</v>
      </c>
      <c r="O92" s="95">
        <f ca="1">IF('SVS GrundRG'!H61="",0,'SVS GrundRG'!H61)</f>
        <v>0</v>
      </c>
      <c r="P92" s="95">
        <f t="shared" si="22"/>
        <v>0</v>
      </c>
      <c r="Q92" s="95">
        <f t="shared" si="23"/>
        <v>0</v>
      </c>
      <c r="R92" s="95">
        <f t="shared" si="24"/>
        <v>0</v>
      </c>
      <c r="S92" s="3" t="str">
        <f t="shared" si="25"/>
        <v>Leistungswert eintragen</v>
      </c>
      <c r="U92" s="3">
        <f t="shared" si="26"/>
        <v>7</v>
      </c>
      <c r="V92" s="3">
        <f t="shared" si="27"/>
        <v>2.1</v>
      </c>
      <c r="W92" s="3">
        <f t="shared" si="28"/>
        <v>9.1</v>
      </c>
      <c r="X92" s="3" t="str">
        <f t="shared" si="29"/>
        <v/>
      </c>
    </row>
    <row r="93" spans="1:24" ht="15" customHeight="1" x14ac:dyDescent="0.2">
      <c r="A93" s="153">
        <v>72</v>
      </c>
      <c r="B93" s="165"/>
      <c r="C93" s="166" t="s">
        <v>377</v>
      </c>
      <c r="D93" s="166" t="s">
        <v>317</v>
      </c>
      <c r="E93" s="166" t="s">
        <v>383</v>
      </c>
      <c r="F93" s="166" t="s">
        <v>379</v>
      </c>
      <c r="G93" s="167">
        <v>11.75</v>
      </c>
      <c r="H93" s="167"/>
      <c r="I93" s="167"/>
      <c r="J93" s="153" t="s">
        <v>314</v>
      </c>
      <c r="K93" s="153" t="s">
        <v>168</v>
      </c>
      <c r="L93" s="95">
        <f>VLOOKUP(K93,Reinigungstage!A10:O31,15,FALSE)</f>
        <v>1</v>
      </c>
      <c r="M93" s="95">
        <f t="shared" si="20"/>
        <v>11.75</v>
      </c>
      <c r="N93" s="168">
        <f t="shared" si="21"/>
        <v>0</v>
      </c>
      <c r="O93" s="95">
        <f ca="1">IF('SVS GrundRG'!H61="",0,'SVS GrundRG'!H61)</f>
        <v>0</v>
      </c>
      <c r="P93" s="95">
        <f t="shared" si="22"/>
        <v>0</v>
      </c>
      <c r="Q93" s="95">
        <f t="shared" si="23"/>
        <v>0</v>
      </c>
      <c r="R93" s="95">
        <f t="shared" si="24"/>
        <v>0</v>
      </c>
      <c r="S93" s="3" t="str">
        <f t="shared" si="25"/>
        <v>Leistungswert eintragen</v>
      </c>
      <c r="U93" s="3">
        <f t="shared" si="26"/>
        <v>7</v>
      </c>
      <c r="V93" s="3">
        <f t="shared" si="27"/>
        <v>2.1</v>
      </c>
      <c r="W93" s="3">
        <f t="shared" si="28"/>
        <v>9.1</v>
      </c>
      <c r="X93" s="3" t="str">
        <f t="shared" si="29"/>
        <v/>
      </c>
    </row>
    <row r="94" spans="1:24" ht="15" customHeight="1" x14ac:dyDescent="0.2">
      <c r="A94" s="153">
        <v>73</v>
      </c>
      <c r="B94" s="165" t="s">
        <v>384</v>
      </c>
      <c r="C94" s="166" t="s">
        <v>377</v>
      </c>
      <c r="D94" s="166" t="s">
        <v>317</v>
      </c>
      <c r="E94" s="166" t="s">
        <v>385</v>
      </c>
      <c r="F94" s="166" t="s">
        <v>287</v>
      </c>
      <c r="G94" s="167">
        <v>32.54</v>
      </c>
      <c r="H94" s="167"/>
      <c r="I94" s="167"/>
      <c r="J94" s="153" t="s">
        <v>312</v>
      </c>
      <c r="K94" s="153" t="s">
        <v>168</v>
      </c>
      <c r="L94" s="95">
        <f>VLOOKUP(K94,Reinigungstage!A10:O31,15,FALSE)</f>
        <v>1</v>
      </c>
      <c r="M94" s="95">
        <f t="shared" si="20"/>
        <v>32.54</v>
      </c>
      <c r="N94" s="168">
        <f t="shared" si="21"/>
        <v>0</v>
      </c>
      <c r="O94" s="95">
        <f ca="1">IF('SVS GrundRG'!H61="",0,'SVS GrundRG'!H61)</f>
        <v>0</v>
      </c>
      <c r="P94" s="95">
        <f t="shared" si="22"/>
        <v>0</v>
      </c>
      <c r="Q94" s="95">
        <f t="shared" si="23"/>
        <v>0</v>
      </c>
      <c r="R94" s="95">
        <f t="shared" si="24"/>
        <v>0</v>
      </c>
      <c r="S94" s="3" t="str">
        <f t="shared" si="25"/>
        <v>Leistungswert eintragen</v>
      </c>
      <c r="U94" s="3">
        <f t="shared" si="26"/>
        <v>20</v>
      </c>
      <c r="V94" s="3">
        <f t="shared" si="27"/>
        <v>6</v>
      </c>
      <c r="W94" s="3">
        <f t="shared" si="28"/>
        <v>26</v>
      </c>
      <c r="X94" s="3" t="str">
        <f t="shared" si="29"/>
        <v/>
      </c>
    </row>
    <row r="95" spans="1:24" ht="15" customHeight="1" x14ac:dyDescent="0.2">
      <c r="A95" s="153">
        <v>74</v>
      </c>
      <c r="B95" s="165"/>
      <c r="C95" s="166" t="s">
        <v>377</v>
      </c>
      <c r="D95" s="166" t="s">
        <v>317</v>
      </c>
      <c r="E95" s="166" t="s">
        <v>386</v>
      </c>
      <c r="F95" s="166" t="s">
        <v>287</v>
      </c>
      <c r="G95" s="167">
        <v>23.05</v>
      </c>
      <c r="H95" s="167"/>
      <c r="I95" s="167"/>
      <c r="J95" s="153" t="s">
        <v>313</v>
      </c>
      <c r="K95" s="153" t="s">
        <v>168</v>
      </c>
      <c r="L95" s="95">
        <f>VLOOKUP(K95,Reinigungstage!A10:O31,15,FALSE)</f>
        <v>1</v>
      </c>
      <c r="M95" s="95">
        <f t="shared" si="20"/>
        <v>23.05</v>
      </c>
      <c r="N95" s="168">
        <f t="shared" si="21"/>
        <v>0</v>
      </c>
      <c r="O95" s="95">
        <f ca="1">IF('SVS GrundRG'!H61="",0,'SVS GrundRG'!H61)</f>
        <v>0</v>
      </c>
      <c r="P95" s="95">
        <f t="shared" si="22"/>
        <v>0</v>
      </c>
      <c r="Q95" s="95">
        <f t="shared" si="23"/>
        <v>0</v>
      </c>
      <c r="R95" s="95">
        <f t="shared" si="24"/>
        <v>0</v>
      </c>
      <c r="S95" s="3" t="str">
        <f t="shared" si="25"/>
        <v>Leistungswert eintragen</v>
      </c>
      <c r="U95" s="3">
        <f t="shared" si="26"/>
        <v>24</v>
      </c>
      <c r="V95" s="3">
        <f t="shared" si="27"/>
        <v>7.1999999999999993</v>
      </c>
      <c r="W95" s="3">
        <f t="shared" si="28"/>
        <v>31.2</v>
      </c>
      <c r="X95" s="3" t="str">
        <f t="shared" si="29"/>
        <v/>
      </c>
    </row>
    <row r="96" spans="1:24" ht="15" customHeight="1" x14ac:dyDescent="0.2">
      <c r="A96" s="153">
        <v>75</v>
      </c>
      <c r="B96" s="165"/>
      <c r="C96" s="166" t="s">
        <v>377</v>
      </c>
      <c r="D96" s="166" t="s">
        <v>317</v>
      </c>
      <c r="E96" s="166" t="s">
        <v>339</v>
      </c>
      <c r="F96" s="166" t="s">
        <v>330</v>
      </c>
      <c r="G96" s="167">
        <v>18.22</v>
      </c>
      <c r="H96" s="167"/>
      <c r="I96" s="167"/>
      <c r="J96" s="153" t="s">
        <v>312</v>
      </c>
      <c r="K96" s="153" t="s">
        <v>168</v>
      </c>
      <c r="L96" s="95">
        <f>VLOOKUP(K96,Reinigungstage!A10:O31,15,FALSE)</f>
        <v>1</v>
      </c>
      <c r="M96" s="95">
        <f t="shared" si="20"/>
        <v>18.22</v>
      </c>
      <c r="N96" s="168">
        <f t="shared" si="21"/>
        <v>0</v>
      </c>
      <c r="O96" s="95">
        <f ca="1">IF('SVS GrundRG'!H61="",0,'SVS GrundRG'!H61)</f>
        <v>0</v>
      </c>
      <c r="P96" s="95">
        <f t="shared" si="22"/>
        <v>0</v>
      </c>
      <c r="Q96" s="95">
        <f t="shared" si="23"/>
        <v>0</v>
      </c>
      <c r="R96" s="95">
        <f t="shared" si="24"/>
        <v>0</v>
      </c>
      <c r="S96" s="3" t="str">
        <f t="shared" si="25"/>
        <v>Leistungswert eintragen</v>
      </c>
      <c r="U96" s="3">
        <f t="shared" si="26"/>
        <v>20</v>
      </c>
      <c r="V96" s="3">
        <f t="shared" si="27"/>
        <v>6</v>
      </c>
      <c r="W96" s="3">
        <f t="shared" si="28"/>
        <v>26</v>
      </c>
      <c r="X96" s="3" t="str">
        <f t="shared" si="29"/>
        <v/>
      </c>
    </row>
    <row r="97" spans="1:24" ht="15" customHeight="1" x14ac:dyDescent="0.2">
      <c r="A97" s="153">
        <v>76</v>
      </c>
      <c r="B97" s="165"/>
      <c r="C97" s="166" t="s">
        <v>377</v>
      </c>
      <c r="D97" s="166" t="s">
        <v>325</v>
      </c>
      <c r="E97" s="166" t="s">
        <v>387</v>
      </c>
      <c r="F97" s="166" t="s">
        <v>287</v>
      </c>
      <c r="G97" s="167">
        <v>49.4</v>
      </c>
      <c r="H97" s="167"/>
      <c r="I97" s="167"/>
      <c r="J97" s="153" t="s">
        <v>313</v>
      </c>
      <c r="K97" s="153" t="s">
        <v>168</v>
      </c>
      <c r="L97" s="95">
        <f>VLOOKUP(K97,Reinigungstage!A10:O31,15,FALSE)</f>
        <v>1</v>
      </c>
      <c r="M97" s="95">
        <f t="shared" si="20"/>
        <v>49.4</v>
      </c>
      <c r="N97" s="168">
        <f t="shared" si="21"/>
        <v>0</v>
      </c>
      <c r="O97" s="95">
        <f ca="1">IF('SVS GrundRG'!H61="",0,'SVS GrundRG'!H61)</f>
        <v>0</v>
      </c>
      <c r="P97" s="95">
        <f t="shared" si="22"/>
        <v>0</v>
      </c>
      <c r="Q97" s="95">
        <f t="shared" si="23"/>
        <v>0</v>
      </c>
      <c r="R97" s="95">
        <f t="shared" si="24"/>
        <v>0</v>
      </c>
      <c r="S97" s="3" t="str">
        <f t="shared" si="25"/>
        <v>Leistungswert eintragen</v>
      </c>
      <c r="U97" s="3">
        <f t="shared" si="26"/>
        <v>24</v>
      </c>
      <c r="V97" s="3">
        <f t="shared" si="27"/>
        <v>7.1999999999999993</v>
      </c>
      <c r="W97" s="3">
        <f t="shared" si="28"/>
        <v>31.2</v>
      </c>
      <c r="X97" s="3" t="str">
        <f t="shared" si="29"/>
        <v/>
      </c>
    </row>
    <row r="98" spans="1:24" ht="15" customHeight="1" x14ac:dyDescent="0.2">
      <c r="A98" s="153">
        <v>77</v>
      </c>
      <c r="B98" s="165"/>
      <c r="C98" s="166" t="s">
        <v>377</v>
      </c>
      <c r="D98" s="166" t="s">
        <v>325</v>
      </c>
      <c r="E98" s="166" t="s">
        <v>291</v>
      </c>
      <c r="F98" s="166" t="s">
        <v>287</v>
      </c>
      <c r="G98" s="167">
        <v>10.7</v>
      </c>
      <c r="H98" s="167"/>
      <c r="I98" s="167"/>
      <c r="J98" s="153" t="s">
        <v>291</v>
      </c>
      <c r="K98" s="153" t="s">
        <v>168</v>
      </c>
      <c r="L98" s="95">
        <f>VLOOKUP(K98,Reinigungstage!A10:O31,15,FALSE)</f>
        <v>1</v>
      </c>
      <c r="M98" s="95">
        <f t="shared" si="20"/>
        <v>10.7</v>
      </c>
      <c r="N98" s="168">
        <f t="shared" si="21"/>
        <v>0</v>
      </c>
      <c r="O98" s="95">
        <f ca="1">IF('SVS GrundRG'!H61="",0,'SVS GrundRG'!H61)</f>
        <v>0</v>
      </c>
      <c r="P98" s="95">
        <f t="shared" si="22"/>
        <v>0</v>
      </c>
      <c r="Q98" s="95">
        <f t="shared" si="23"/>
        <v>0</v>
      </c>
      <c r="R98" s="95">
        <f t="shared" si="24"/>
        <v>0</v>
      </c>
      <c r="S98" s="3" t="str">
        <f t="shared" si="25"/>
        <v>Leistungswert eintragen</v>
      </c>
      <c r="U98" s="3">
        <f t="shared" si="26"/>
        <v>16.5</v>
      </c>
      <c r="V98" s="3">
        <f t="shared" si="27"/>
        <v>4.95</v>
      </c>
      <c r="W98" s="3">
        <f t="shared" si="28"/>
        <v>21.45</v>
      </c>
      <c r="X98" s="3" t="str">
        <f t="shared" si="29"/>
        <v/>
      </c>
    </row>
    <row r="99" spans="1:24" ht="15" customHeight="1" x14ac:dyDescent="0.2">
      <c r="A99" s="153">
        <v>78</v>
      </c>
      <c r="B99" s="165" t="s">
        <v>388</v>
      </c>
      <c r="C99" s="166" t="s">
        <v>377</v>
      </c>
      <c r="D99" s="166" t="s">
        <v>325</v>
      </c>
      <c r="E99" s="166" t="s">
        <v>385</v>
      </c>
      <c r="F99" s="166" t="s">
        <v>287</v>
      </c>
      <c r="G99" s="167">
        <v>10.89</v>
      </c>
      <c r="H99" s="167"/>
      <c r="I99" s="167"/>
      <c r="J99" s="153" t="s">
        <v>312</v>
      </c>
      <c r="K99" s="153" t="s">
        <v>168</v>
      </c>
      <c r="L99" s="95">
        <f>VLOOKUP(K99,Reinigungstage!A10:O31,15,FALSE)</f>
        <v>1</v>
      </c>
      <c r="M99" s="95">
        <f t="shared" si="20"/>
        <v>10.89</v>
      </c>
      <c r="N99" s="168">
        <f t="shared" si="21"/>
        <v>0</v>
      </c>
      <c r="O99" s="95">
        <f ca="1">IF('SVS GrundRG'!H61="",0,'SVS GrundRG'!H61)</f>
        <v>0</v>
      </c>
      <c r="P99" s="95">
        <f t="shared" si="22"/>
        <v>0</v>
      </c>
      <c r="Q99" s="95">
        <f t="shared" si="23"/>
        <v>0</v>
      </c>
      <c r="R99" s="95">
        <f t="shared" si="24"/>
        <v>0</v>
      </c>
      <c r="S99" s="3" t="str">
        <f t="shared" si="25"/>
        <v>Leistungswert eintragen</v>
      </c>
      <c r="U99" s="3">
        <f t="shared" si="26"/>
        <v>20</v>
      </c>
      <c r="V99" s="3">
        <f t="shared" si="27"/>
        <v>6</v>
      </c>
      <c r="W99" s="3">
        <f t="shared" si="28"/>
        <v>26</v>
      </c>
      <c r="X99" s="3" t="str">
        <f t="shared" si="29"/>
        <v/>
      </c>
    </row>
    <row r="100" spans="1:24" ht="15" customHeight="1" x14ac:dyDescent="0.2">
      <c r="A100" s="153">
        <v>79</v>
      </c>
      <c r="B100" s="165" t="s">
        <v>389</v>
      </c>
      <c r="C100" s="166" t="s">
        <v>377</v>
      </c>
      <c r="D100" s="166" t="s">
        <v>325</v>
      </c>
      <c r="E100" s="166" t="s">
        <v>390</v>
      </c>
      <c r="F100" s="166" t="s">
        <v>287</v>
      </c>
      <c r="G100" s="167">
        <v>34.450000000000003</v>
      </c>
      <c r="H100" s="167"/>
      <c r="I100" s="167"/>
      <c r="J100" s="153" t="s">
        <v>315</v>
      </c>
      <c r="K100" s="153" t="s">
        <v>168</v>
      </c>
      <c r="L100" s="95">
        <f>VLOOKUP(K100,Reinigungstage!A10:O31,15,FALSE)</f>
        <v>1</v>
      </c>
      <c r="M100" s="95">
        <f t="shared" si="20"/>
        <v>34.450000000000003</v>
      </c>
      <c r="N100" s="168">
        <f t="shared" si="21"/>
        <v>0</v>
      </c>
      <c r="O100" s="95">
        <f ca="1">IF('SVS GrundRG'!H61="",0,'SVS GrundRG'!H61)</f>
        <v>0</v>
      </c>
      <c r="P100" s="95">
        <f t="shared" si="22"/>
        <v>0</v>
      </c>
      <c r="Q100" s="95">
        <f t="shared" si="23"/>
        <v>0</v>
      </c>
      <c r="R100" s="95">
        <f t="shared" si="24"/>
        <v>0</v>
      </c>
      <c r="S100" s="3" t="str">
        <f t="shared" si="25"/>
        <v>Leistungswert eintragen</v>
      </c>
      <c r="U100" s="3">
        <f t="shared" si="26"/>
        <v>15</v>
      </c>
      <c r="V100" s="3">
        <f t="shared" si="27"/>
        <v>4.5</v>
      </c>
      <c r="W100" s="3">
        <f t="shared" si="28"/>
        <v>19.5</v>
      </c>
      <c r="X100" s="3" t="str">
        <f t="shared" si="29"/>
        <v/>
      </c>
    </row>
    <row r="101" spans="1:24" ht="15" customHeight="1" x14ac:dyDescent="0.2">
      <c r="A101" s="153">
        <v>80</v>
      </c>
      <c r="B101" s="165" t="s">
        <v>391</v>
      </c>
      <c r="C101" s="166" t="s">
        <v>377</v>
      </c>
      <c r="D101" s="166" t="s">
        <v>325</v>
      </c>
      <c r="E101" s="166" t="s">
        <v>392</v>
      </c>
      <c r="F101" s="166" t="s">
        <v>287</v>
      </c>
      <c r="G101" s="167">
        <v>12.71</v>
      </c>
      <c r="H101" s="167"/>
      <c r="I101" s="167"/>
      <c r="J101" s="153" t="s">
        <v>312</v>
      </c>
      <c r="K101" s="153" t="s">
        <v>168</v>
      </c>
      <c r="L101" s="95">
        <f>VLOOKUP(K101,Reinigungstage!A10:O31,15,FALSE)</f>
        <v>1</v>
      </c>
      <c r="M101" s="95">
        <f t="shared" si="20"/>
        <v>12.71</v>
      </c>
      <c r="N101" s="168">
        <f t="shared" si="21"/>
        <v>0</v>
      </c>
      <c r="O101" s="95">
        <f ca="1">IF('SVS GrundRG'!H61="",0,'SVS GrundRG'!H61)</f>
        <v>0</v>
      </c>
      <c r="P101" s="95">
        <f t="shared" si="22"/>
        <v>0</v>
      </c>
      <c r="Q101" s="95">
        <f t="shared" si="23"/>
        <v>0</v>
      </c>
      <c r="R101" s="95">
        <f t="shared" si="24"/>
        <v>0</v>
      </c>
      <c r="S101" s="3" t="str">
        <f t="shared" si="25"/>
        <v>Leistungswert eintragen</v>
      </c>
      <c r="U101" s="3">
        <f t="shared" si="26"/>
        <v>20</v>
      </c>
      <c r="V101" s="3">
        <f t="shared" si="27"/>
        <v>6</v>
      </c>
      <c r="W101" s="3">
        <f t="shared" si="28"/>
        <v>26</v>
      </c>
      <c r="X101" s="3" t="str">
        <f t="shared" si="29"/>
        <v/>
      </c>
    </row>
    <row r="102" spans="1:24" ht="15" customHeight="1" x14ac:dyDescent="0.2">
      <c r="A102" s="153">
        <v>81</v>
      </c>
      <c r="B102" s="165" t="s">
        <v>393</v>
      </c>
      <c r="C102" s="166" t="s">
        <v>377</v>
      </c>
      <c r="D102" s="166" t="s">
        <v>325</v>
      </c>
      <c r="E102" s="166" t="s">
        <v>394</v>
      </c>
      <c r="F102" s="166" t="s">
        <v>287</v>
      </c>
      <c r="G102" s="167">
        <v>8.2200000000000006</v>
      </c>
      <c r="H102" s="167"/>
      <c r="I102" s="167"/>
      <c r="J102" s="153" t="s">
        <v>312</v>
      </c>
      <c r="K102" s="153" t="s">
        <v>168</v>
      </c>
      <c r="L102" s="95">
        <f>VLOOKUP(K102,Reinigungstage!A10:O31,15,FALSE)</f>
        <v>1</v>
      </c>
      <c r="M102" s="95">
        <f t="shared" si="20"/>
        <v>8.2200000000000006</v>
      </c>
      <c r="N102" s="168">
        <f t="shared" si="21"/>
        <v>0</v>
      </c>
      <c r="O102" s="95">
        <f ca="1">IF('SVS GrundRG'!H61="",0,'SVS GrundRG'!H61)</f>
        <v>0</v>
      </c>
      <c r="P102" s="95">
        <f t="shared" si="22"/>
        <v>0</v>
      </c>
      <c r="Q102" s="95">
        <f t="shared" si="23"/>
        <v>0</v>
      </c>
      <c r="R102" s="95">
        <f t="shared" si="24"/>
        <v>0</v>
      </c>
      <c r="S102" s="3" t="str">
        <f t="shared" si="25"/>
        <v>Leistungswert eintragen</v>
      </c>
      <c r="U102" s="3">
        <f t="shared" si="26"/>
        <v>20</v>
      </c>
      <c r="V102" s="3">
        <f t="shared" si="27"/>
        <v>6</v>
      </c>
      <c r="W102" s="3">
        <f t="shared" si="28"/>
        <v>26</v>
      </c>
      <c r="X102" s="3" t="str">
        <f t="shared" si="29"/>
        <v/>
      </c>
    </row>
    <row r="103" spans="1:24" ht="15" customHeight="1" x14ac:dyDescent="0.2">
      <c r="A103" s="153">
        <v>82</v>
      </c>
      <c r="B103" s="165" t="s">
        <v>395</v>
      </c>
      <c r="C103" s="166" t="s">
        <v>377</v>
      </c>
      <c r="D103" s="166" t="s">
        <v>325</v>
      </c>
      <c r="E103" s="166" t="s">
        <v>396</v>
      </c>
      <c r="F103" s="166" t="s">
        <v>287</v>
      </c>
      <c r="G103" s="167">
        <v>34.78</v>
      </c>
      <c r="H103" s="167"/>
      <c r="I103" s="167"/>
      <c r="J103" s="153" t="s">
        <v>401</v>
      </c>
      <c r="K103" s="153" t="s">
        <v>168</v>
      </c>
      <c r="L103" s="95">
        <f>VLOOKUP(K103,Reinigungstage!A10:O31,15,FALSE)</f>
        <v>1</v>
      </c>
      <c r="M103" s="95">
        <f t="shared" si="20"/>
        <v>34.78</v>
      </c>
      <c r="N103" s="168">
        <f t="shared" si="21"/>
        <v>0</v>
      </c>
      <c r="O103" s="95">
        <f ca="1">IF('SVS GrundRG'!H61="",0,'SVS GrundRG'!H61)</f>
        <v>0</v>
      </c>
      <c r="P103" s="95">
        <f t="shared" si="22"/>
        <v>0</v>
      </c>
      <c r="Q103" s="95">
        <f t="shared" si="23"/>
        <v>0</v>
      </c>
      <c r="R103" s="95">
        <f t="shared" si="24"/>
        <v>0</v>
      </c>
      <c r="S103" s="3" t="str">
        <f t="shared" si="25"/>
        <v>Leistungswert eintragen</v>
      </c>
      <c r="U103" s="3">
        <f t="shared" si="26"/>
        <v>14</v>
      </c>
      <c r="V103" s="3">
        <f t="shared" si="27"/>
        <v>4.2</v>
      </c>
      <c r="W103" s="3">
        <f t="shared" si="28"/>
        <v>18.2</v>
      </c>
      <c r="X103" s="3" t="str">
        <f t="shared" si="29"/>
        <v/>
      </c>
    </row>
    <row r="104" spans="1:24" ht="15" customHeight="1" x14ac:dyDescent="0.2">
      <c r="A104" s="153">
        <v>83</v>
      </c>
      <c r="B104" s="165" t="s">
        <v>397</v>
      </c>
      <c r="C104" s="166" t="s">
        <v>377</v>
      </c>
      <c r="D104" s="166" t="s">
        <v>325</v>
      </c>
      <c r="E104" s="166" t="s">
        <v>398</v>
      </c>
      <c r="F104" s="166" t="s">
        <v>287</v>
      </c>
      <c r="G104" s="167">
        <v>10.99</v>
      </c>
      <c r="H104" s="167"/>
      <c r="I104" s="167"/>
      <c r="J104" s="153" t="s">
        <v>315</v>
      </c>
      <c r="K104" s="153" t="s">
        <v>168</v>
      </c>
      <c r="L104" s="95">
        <f>VLOOKUP(K104,Reinigungstage!A10:O31,15,FALSE)</f>
        <v>1</v>
      </c>
      <c r="M104" s="95">
        <f t="shared" si="20"/>
        <v>10.99</v>
      </c>
      <c r="N104" s="168">
        <f t="shared" si="21"/>
        <v>0</v>
      </c>
      <c r="O104" s="95">
        <f ca="1">IF('SVS GrundRG'!H61="",0,'SVS GrundRG'!H61)</f>
        <v>0</v>
      </c>
      <c r="P104" s="95">
        <f t="shared" si="22"/>
        <v>0</v>
      </c>
      <c r="Q104" s="95">
        <f t="shared" si="23"/>
        <v>0</v>
      </c>
      <c r="R104" s="95">
        <f t="shared" si="24"/>
        <v>0</v>
      </c>
      <c r="S104" s="3" t="str">
        <f t="shared" si="25"/>
        <v>Leistungswert eintragen</v>
      </c>
      <c r="U104" s="3">
        <f t="shared" si="26"/>
        <v>15</v>
      </c>
      <c r="V104" s="3">
        <f t="shared" si="27"/>
        <v>4.5</v>
      </c>
      <c r="W104" s="3">
        <f t="shared" si="28"/>
        <v>19.5</v>
      </c>
      <c r="X104" s="3" t="str">
        <f t="shared" si="29"/>
        <v/>
      </c>
    </row>
    <row r="105" spans="1:24" ht="15" customHeight="1" x14ac:dyDescent="0.2">
      <c r="A105" s="153">
        <v>84</v>
      </c>
      <c r="B105" s="165" t="s">
        <v>399</v>
      </c>
      <c r="C105" s="166" t="s">
        <v>377</v>
      </c>
      <c r="D105" s="166" t="s">
        <v>325</v>
      </c>
      <c r="E105" s="166" t="s">
        <v>400</v>
      </c>
      <c r="F105" s="166" t="s">
        <v>293</v>
      </c>
      <c r="G105" s="167">
        <v>72.489999999999995</v>
      </c>
      <c r="H105" s="167"/>
      <c r="I105" s="167"/>
      <c r="J105" s="153" t="s">
        <v>401</v>
      </c>
      <c r="K105" s="153" t="s">
        <v>168</v>
      </c>
      <c r="L105" s="95">
        <f>VLOOKUP(K105,Reinigungstage!A10:O31,15,FALSE)</f>
        <v>1</v>
      </c>
      <c r="M105" s="95">
        <f t="shared" si="20"/>
        <v>72.489999999999995</v>
      </c>
      <c r="N105" s="168">
        <f t="shared" si="21"/>
        <v>0</v>
      </c>
      <c r="O105" s="95">
        <f ca="1">IF('SVS GrundRG'!H61="",0,'SVS GrundRG'!H61)</f>
        <v>0</v>
      </c>
      <c r="P105" s="95">
        <f t="shared" si="22"/>
        <v>0</v>
      </c>
      <c r="Q105" s="95">
        <f t="shared" si="23"/>
        <v>0</v>
      </c>
      <c r="R105" s="95">
        <f t="shared" si="24"/>
        <v>0</v>
      </c>
      <c r="S105" s="3" t="str">
        <f t="shared" si="25"/>
        <v>Leistungswert eintragen</v>
      </c>
      <c r="U105" s="3">
        <f t="shared" si="26"/>
        <v>14</v>
      </c>
      <c r="V105" s="3">
        <f t="shared" si="27"/>
        <v>4.2</v>
      </c>
      <c r="W105" s="3">
        <f t="shared" si="28"/>
        <v>18.2</v>
      </c>
      <c r="X105" s="3" t="str">
        <f t="shared" si="29"/>
        <v/>
      </c>
    </row>
  </sheetData>
  <sheetProtection algorithmName="SHA-512" hashValue="WK4/VsZyusLz5gcHiPqqS6XNY3SwaNOfrrsDCivNCpsjrl468ua/fn0jhWcp7LHhDORUhLuw5+6iMddTA7nPWQ==" saltValue="rAWUtUm63PjsvIDyKo8OrA==" spinCount="100000" sheet="1" objects="1" scenarios="1"/>
  <sortState xmlns:xlrd2="http://schemas.microsoft.com/office/spreadsheetml/2017/richdata2" ref="U4:U13">
    <sortCondition ref="U4"/>
  </sortState>
  <mergeCells count="16">
    <mergeCell ref="B13:E13"/>
    <mergeCell ref="B4:E5"/>
    <mergeCell ref="B6:E6"/>
    <mergeCell ref="B7:E7"/>
    <mergeCell ref="B8:E8"/>
    <mergeCell ref="B9:E9"/>
    <mergeCell ref="B10:E10"/>
    <mergeCell ref="B11:E11"/>
    <mergeCell ref="B12:E12"/>
    <mergeCell ref="N2:Q5"/>
    <mergeCell ref="A4:A5"/>
    <mergeCell ref="A2:E2"/>
    <mergeCell ref="G2:G3"/>
    <mergeCell ref="H2:H3"/>
    <mergeCell ref="I2:I3"/>
    <mergeCell ref="J2:J3"/>
  </mergeCells>
  <conditionalFormatting sqref="L8">
    <cfRule type="containsText" dxfId="163" priority="6" operator="containsText" text="Ihre Eintragungen der Leistungswerte liegen weit über den Erfahrungswerten aus der Preisschätzung.">
      <formula>NOT(ISERROR(SEARCH("Ihre Eintragungen der Leistungswerte liegen weit über den Erfahrungswerten aus der Preisschätzung.",L8)))</formula>
    </cfRule>
  </conditionalFormatting>
  <conditionalFormatting sqref="L9">
    <cfRule type="containsText" dxfId="162" priority="5" operator="containsText" text="Bitte prüfen Sie diese.">
      <formula>NOT(ISERROR(SEARCH("Bitte prüfen Sie diese.",L9)))</formula>
    </cfRule>
  </conditionalFormatting>
  <conditionalFormatting sqref="L10">
    <cfRule type="containsText" dxfId="161" priority="4" operator="containsText" text="Beachten Sie, dass Sie frei in der Kalkulation dieser Leistungswerte sind und wir durch den Hinweis">
      <formula>NOT(ISERROR(SEARCH("Beachten Sie, dass Sie frei in der Kalkulation dieser Leistungswerte sind und wir durch den Hinweis",L10)))</formula>
    </cfRule>
  </conditionalFormatting>
  <conditionalFormatting sqref="L11">
    <cfRule type="containsText" dxfId="160" priority="3" operator="containsText" text="lediglich Fehleingaben vermeiden wollen.">
      <formula>NOT(ISERROR(SEARCH("lediglich Fehleingaben vermeiden wollen.",L11)))</formula>
    </cfRule>
  </conditionalFormatting>
  <conditionalFormatting sqref="M11">
    <cfRule type="containsText" dxfId="159" priority="7" operator="containsText" text="Es sind Leistungsrichtwerte (LRW) für jede Reinigungsgruppe festgelegt.">
      <formula>NOT(ISERROR(SEARCH("Es sind Leistungsrichtwerte (LRW) für jede Reinigungsgruppe festgelegt.",M11)))</formula>
    </cfRule>
  </conditionalFormatting>
  <conditionalFormatting sqref="N13">
    <cfRule type="expression" dxfId="158" priority="2" stopIfTrue="1">
      <formula>N13=0</formula>
    </cfRule>
  </conditionalFormatting>
  <conditionalFormatting sqref="N14">
    <cfRule type="expression" dxfId="157" priority="1">
      <formula>N14=0</formula>
    </cfRule>
  </conditionalFormatting>
  <conditionalFormatting sqref="N22:N105">
    <cfRule type="expression" dxfId="156" priority="10">
      <formula>X22=0</formula>
    </cfRule>
    <cfRule type="expression" dxfId="155" priority="11" stopIfTrue="1">
      <formula>X22=1</formula>
    </cfRule>
  </conditionalFormatting>
  <conditionalFormatting sqref="O13">
    <cfRule type="containsText" dxfId="154" priority="9" stopIfTrue="1" operator="containsText" text="Wert(e) überschritten, bitte mit dem Angebot plausibel darlegen.">
      <formula>NOT(ISERROR(SEARCH("Wert(e) überschritten, bitte mit dem Angebot plausibel darlegen.",O13)))</formula>
    </cfRule>
  </conditionalFormatting>
  <conditionalFormatting sqref="O14">
    <cfRule type="containsText" dxfId="153" priority="8" operator="containsText" text="Wert(e) prüfen.">
      <formula>NOT(ISERROR(SEARCH("Wert(e) prüfen.",O14)))</formula>
    </cfRule>
  </conditionalFormatting>
  <conditionalFormatting sqref="S22:S105">
    <cfRule type="containsText" dxfId="152" priority="12" stopIfTrue="1" operator="containsText" text="SVS prüfen">
      <formula>NOT(ISERROR(SEARCH("SVS prüfen",S22)))</formula>
    </cfRule>
    <cfRule type="containsText" dxfId="151" priority="13" stopIfTrue="1" operator="containsText" text="Leistungswert eintragen">
      <formula>NOT(ISERROR(SEARCH("Leistungswert eintragen",S22)))</formula>
    </cfRule>
  </conditionalFormatting>
  <hyperlinks>
    <hyperlink ref="M1" location="Inhaltsverzeichnis!A1" display="Zurück zum Inhaltsverzeichnis" xr:uid="{C5089F01-FD50-4D4D-AE22-C1D1E08F7D52}"/>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&amp;RKal Grund Grundschule&amp;LStadt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12</xdr:col>
                    <xdr:colOff>0</xdr:colOff>
                    <xdr:row>1</xdr:row>
                    <xdr:rowOff>0</xdr:rowOff>
                  </from>
                  <to>
                    <xdr:col>13</xdr:col>
                    <xdr:colOff>0</xdr:colOff>
                    <xdr:row>1</xdr:row>
                    <xdr:rowOff>228600</xdr:rowOff>
                  </to>
                </anchor>
              </controlPr>
            </control>
          </mc:Choice>
        </mc:AlternateContent>
        <mc:AlternateContent xmlns:mc="http://schemas.openxmlformats.org/markup-compatibility/2006">
          <mc:Choice Requires="x14">
            <control shapeId="102402" r:id="rId5" name="Check Box 2">
              <controlPr defaultSize="0" autoFill="0" autoLine="0" autoPict="0" altText="Hinweis 2">
                <anchor moveWithCells="1">
                  <from>
                    <xdr:col>12</xdr:col>
                    <xdr:colOff>0</xdr:colOff>
                    <xdr:row>1</xdr:row>
                    <xdr:rowOff>238125</xdr:rowOff>
                  </from>
                  <to>
                    <xdr:col>13</xdr:col>
                    <xdr:colOff>0</xdr:colOff>
                    <xdr:row>2</xdr:row>
                    <xdr:rowOff>209550</xdr:rowOff>
                  </to>
                </anchor>
              </controlPr>
            </control>
          </mc:Choice>
        </mc:AlternateContent>
        <mc:AlternateContent xmlns:mc="http://schemas.openxmlformats.org/markup-compatibility/2006">
          <mc:Choice Requires="x14">
            <control shapeId="102403" r:id="rId6" name="Check Box 3">
              <controlPr defaultSize="0" autoFill="0" autoLine="0" autoPict="0" altText="Hinweis 3">
                <anchor moveWithCells="1">
                  <from>
                    <xdr:col>12</xdr:col>
                    <xdr:colOff>0</xdr:colOff>
                    <xdr:row>2</xdr:row>
                    <xdr:rowOff>219075</xdr:rowOff>
                  </from>
                  <to>
                    <xdr:col>13</xdr:col>
                    <xdr:colOff>0</xdr:colOff>
                    <xdr:row>3</xdr:row>
                    <xdr:rowOff>142875</xdr:rowOff>
                  </to>
                </anchor>
              </controlPr>
            </control>
          </mc:Choice>
        </mc:AlternateContent>
        <mc:AlternateContent xmlns:mc="http://schemas.openxmlformats.org/markup-compatibility/2006">
          <mc:Choice Requires="x14">
            <control shapeId="102404" r:id="rId7" name="Check Box 4">
              <controlPr defaultSize="0" autoFill="0" autoLine="0" autoPict="0" altText="Hinweis 3">
                <anchor moveWithCells="1">
                  <from>
                    <xdr:col>12</xdr:col>
                    <xdr:colOff>0</xdr:colOff>
                    <xdr:row>3</xdr:row>
                    <xdr:rowOff>152400</xdr:rowOff>
                  </from>
                  <to>
                    <xdr:col>13</xdr:col>
                    <xdr:colOff>0</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208B4-9AF4-420D-A12C-31FB2AE9D134}">
  <sheetPr codeName="Tabelle32">
    <tabColor indexed="40"/>
  </sheetPr>
  <dimension ref="A1:U34"/>
  <sheetViews>
    <sheetView showGridLines="0" zoomScaleNormal="100" workbookViewId="0">
      <pane ySplit="21" topLeftCell="A22" activePane="bottomLeft" state="frozen"/>
      <selection pane="bottomLeft"/>
    </sheetView>
  </sheetViews>
  <sheetFormatPr baseColWidth="10" defaultColWidth="0" defaultRowHeight="15" customHeight="1" x14ac:dyDescent="0.2"/>
  <cols>
    <col min="1" max="1" width="11.7109375" style="3" customWidth="1"/>
    <col min="2" max="2" width="7.7109375" style="3" customWidth="1"/>
    <col min="3" max="3" width="5.7109375" style="3" customWidth="1"/>
    <col min="4" max="4" width="8.28515625" style="3" customWidth="1"/>
    <col min="5" max="5" width="21.7109375" style="3" customWidth="1"/>
    <col min="6" max="6" width="13.5703125" style="3" bestFit="1" customWidth="1"/>
    <col min="7" max="7" width="10.7109375" style="3" customWidth="1"/>
    <col min="8" max="8" width="9.7109375" style="3" customWidth="1"/>
    <col min="9" max="9" width="11.7109375" style="3" customWidth="1"/>
    <col min="10" max="10" width="10.5703125" style="3" bestFit="1" customWidth="1"/>
    <col min="11" max="11" width="7.85546875" style="3" customWidth="1"/>
    <col min="12" max="12" width="8.7109375" style="3" customWidth="1"/>
    <col min="13" max="13" width="12.140625" style="3" customWidth="1"/>
    <col min="14" max="14" width="9.42578125" style="3" customWidth="1"/>
    <col min="15" max="15" width="8.42578125" style="3" customWidth="1"/>
    <col min="16" max="17" width="11.42578125" style="3" customWidth="1"/>
    <col min="18" max="19" width="11.28515625" style="3" customWidth="1"/>
    <col min="20" max="20" width="22.28515625" style="3" customWidth="1"/>
    <col min="21" max="21" width="0" style="3" hidden="1" customWidth="1"/>
    <col min="22" max="16384" width="11.42578125" style="3" hidden="1"/>
  </cols>
  <sheetData>
    <row r="1" spans="1:21" ht="15" customHeight="1" x14ac:dyDescent="0.2">
      <c r="M1" s="5" t="s">
        <v>100</v>
      </c>
    </row>
    <row r="2" spans="1:21" ht="21" customHeight="1" x14ac:dyDescent="0.2">
      <c r="A2" s="217" t="s">
        <v>177</v>
      </c>
      <c r="B2" s="218"/>
      <c r="C2" s="218"/>
      <c r="D2" s="218" t="b">
        <v>0</v>
      </c>
      <c r="E2" s="219"/>
      <c r="G2" s="220" t="s">
        <v>190</v>
      </c>
      <c r="H2" s="220" t="s">
        <v>182</v>
      </c>
      <c r="I2" s="220" t="s">
        <v>183</v>
      </c>
      <c r="J2" s="220" t="s">
        <v>202</v>
      </c>
      <c r="M2" s="23" t="b">
        <v>0</v>
      </c>
      <c r="N2" s="192" t="str">
        <f>IF(M2=TRUE,"Bitte tragen Sie Ihre Leistungswerte in die gelben Zellen direkt unter der Zelle Leistungswerte (m²/h) ein. Die Leistungswerte werden automatisch in die untere Kalkulation übernommen. Die linke Tabelle ist lediglich eine Ausfüllhilfe.",IF(M3=TRUE,"Wenn eine Jahresreinigungsfläche für eine Reinigungsgruppe mit 0 angegeben ist, brauchen Sie den Leistungswert nicht auszufüllen. Es schadet aber nichts, wenn Sie es trotzdem tun.",IF(M4=TRUE,"Sie können in der Kalkulationstabelle (unten) in jedem einzelnen Raum die Leistungswerte (gelbe Zellen) beliebig oft individuell anpassen. Mit dem individuellen Überschreiben wird die Verknüpfung zu den Leistungswerten in der obigen Tabelle aufgehoben.",IF( M5=TRUE,"Die rot markierten Informationen sind auch lediglich eine Unterstützung. Sie erscheinen, wenn gelbe Zellen in dieser Tabelle oder in den Stundenverrechnungssätzen (SVS) nicht ausgefüllt sind. Wenn keine rote Schrift mehr da ist, ist alles vollständig.",""))))</f>
        <v/>
      </c>
      <c r="O2" s="192"/>
      <c r="P2" s="192"/>
      <c r="Q2" s="192"/>
    </row>
    <row r="3" spans="1:21" ht="21" customHeight="1" x14ac:dyDescent="0.2">
      <c r="A3" s="154" t="s">
        <v>178</v>
      </c>
      <c r="B3" s="155"/>
      <c r="C3" s="155"/>
      <c r="D3" s="155"/>
      <c r="E3" s="156"/>
      <c r="G3" s="221"/>
      <c r="H3" s="221" t="b">
        <v>0</v>
      </c>
      <c r="I3" s="221"/>
      <c r="J3" s="221"/>
      <c r="M3" s="23" t="b">
        <v>0</v>
      </c>
      <c r="N3" s="192"/>
      <c r="O3" s="192"/>
      <c r="P3" s="192"/>
      <c r="Q3" s="192"/>
    </row>
    <row r="4" spans="1:21" ht="15" customHeight="1" x14ac:dyDescent="0.2">
      <c r="A4" s="215" t="s">
        <v>91</v>
      </c>
      <c r="B4" s="225" t="str">
        <f>IF(Inhaltsverzeichnis!C3="","",Inhaltsverzeichnis!C3)</f>
        <v/>
      </c>
      <c r="C4" s="226"/>
      <c r="D4" s="226"/>
      <c r="E4" s="227"/>
      <c r="G4" s="153" t="s">
        <v>402</v>
      </c>
      <c r="H4" s="157"/>
      <c r="I4" s="158">
        <f ca="1">SUMIF('Kal Unter Hallenbad'!J22:M34,$G$4,'Kal Unter Hallenbad'!M22:M34)</f>
        <v>746.99</v>
      </c>
      <c r="J4" s="118">
        <f>COUNTIFS('Kal Unter Hallenbad'!J22:M34,$G$4)</f>
        <v>1</v>
      </c>
      <c r="M4" s="23" t="b">
        <v>0</v>
      </c>
      <c r="N4" s="192"/>
      <c r="O4" s="192"/>
      <c r="P4" s="192"/>
      <c r="Q4" s="192"/>
      <c r="U4" s="153" t="s">
        <v>402</v>
      </c>
    </row>
    <row r="5" spans="1:21" ht="15" customHeight="1" x14ac:dyDescent="0.2">
      <c r="A5" s="216"/>
      <c r="B5" s="228"/>
      <c r="C5" s="229"/>
      <c r="D5" s="229"/>
      <c r="E5" s="230"/>
      <c r="G5" s="153" t="s">
        <v>315</v>
      </c>
      <c r="H5" s="157"/>
      <c r="I5" s="158">
        <f ca="1">SUMIF('Kal Unter Hallenbad'!J22:M34,$G$5,'Kal Unter Hallenbad'!M22:M34)</f>
        <v>646.35</v>
      </c>
      <c r="J5" s="118">
        <f>COUNTIFS('Kal Unter Hallenbad'!J22:M34,$G$5)</f>
        <v>1</v>
      </c>
      <c r="M5" s="23" t="b">
        <v>0</v>
      </c>
      <c r="N5" s="192"/>
      <c r="O5" s="192"/>
      <c r="P5" s="192"/>
      <c r="Q5" s="192"/>
      <c r="U5" s="153" t="s">
        <v>315</v>
      </c>
    </row>
    <row r="6" spans="1:21" ht="15" customHeight="1" x14ac:dyDescent="0.2">
      <c r="A6" s="159" t="s">
        <v>200</v>
      </c>
      <c r="B6" s="231" t="s">
        <v>245</v>
      </c>
      <c r="C6" s="232"/>
      <c r="D6" s="232"/>
      <c r="E6" s="233"/>
      <c r="G6" s="153" t="s">
        <v>314</v>
      </c>
      <c r="H6" s="157"/>
      <c r="I6" s="158">
        <f ca="1">SUMIF('Kal Unter Hallenbad'!J22:M34,$G$6,'Kal Unter Hallenbad'!M22:M34)</f>
        <v>49767.06</v>
      </c>
      <c r="J6" s="118">
        <f>COUNTIFS('Kal Unter Hallenbad'!J22:M34,$G$6)</f>
        <v>5</v>
      </c>
      <c r="U6" s="153" t="s">
        <v>314</v>
      </c>
    </row>
    <row r="7" spans="1:21" ht="15" customHeight="1" x14ac:dyDescent="0.2">
      <c r="A7" s="160" t="s">
        <v>198</v>
      </c>
      <c r="B7" s="234" t="s">
        <v>252</v>
      </c>
      <c r="C7" s="232"/>
      <c r="D7" s="232"/>
      <c r="E7" s="233"/>
      <c r="G7" s="153" t="s">
        <v>312</v>
      </c>
      <c r="H7" s="157"/>
      <c r="I7" s="158">
        <f ca="1">SUMIF('Kal Unter Hallenbad'!J22:M34,$G$7,'Kal Unter Hallenbad'!M22:M34)</f>
        <v>1292.17</v>
      </c>
      <c r="J7" s="118">
        <f>COUNTIFS('Kal Unter Hallenbad'!J22:M34,$G$7)</f>
        <v>2</v>
      </c>
      <c r="U7" s="153" t="s">
        <v>312</v>
      </c>
    </row>
    <row r="8" spans="1:21" ht="15" customHeight="1" x14ac:dyDescent="0.2">
      <c r="A8" s="160" t="s">
        <v>199</v>
      </c>
      <c r="B8" s="231"/>
      <c r="C8" s="232"/>
      <c r="D8" s="232"/>
      <c r="E8" s="233"/>
      <c r="G8" s="153" t="s">
        <v>291</v>
      </c>
      <c r="H8" s="157"/>
      <c r="I8" s="158">
        <f ca="1">SUMIF('Kal Unter Hallenbad'!J22:M34,$G$8,'Kal Unter Hallenbad'!M22:M34)</f>
        <v>6311.32</v>
      </c>
      <c r="J8" s="118">
        <f>COUNTIFS('Kal Unter Hallenbad'!J22:M34,$G$8)</f>
        <v>2</v>
      </c>
      <c r="U8" s="153" t="s">
        <v>291</v>
      </c>
    </row>
    <row r="9" spans="1:21" ht="15" customHeight="1" x14ac:dyDescent="0.2">
      <c r="A9" s="159" t="s">
        <v>197</v>
      </c>
      <c r="B9" s="235" t="s">
        <v>252</v>
      </c>
      <c r="C9" s="232"/>
      <c r="D9" s="232"/>
      <c r="E9" s="233"/>
      <c r="G9" s="153" t="s">
        <v>313</v>
      </c>
      <c r="H9" s="157"/>
      <c r="I9" s="158">
        <f ca="1">SUMIF('Kal Unter Hallenbad'!J22:M34,$G$9,'Kal Unter Hallenbad'!M22:M34)</f>
        <v>5579.2000000000007</v>
      </c>
      <c r="J9" s="118">
        <f>COUNTIFS('Kal Unter Hallenbad'!J22:M34,$G$9)</f>
        <v>2</v>
      </c>
      <c r="U9" s="153" t="s">
        <v>313</v>
      </c>
    </row>
    <row r="10" spans="1:21" ht="15" customHeight="1" x14ac:dyDescent="0.2">
      <c r="A10" s="160" t="s">
        <v>179</v>
      </c>
      <c r="B10" s="231" t="s">
        <v>253</v>
      </c>
      <c r="C10" s="232"/>
      <c r="D10" s="232"/>
      <c r="E10" s="233"/>
    </row>
    <row r="11" spans="1:21" ht="15" customHeight="1" x14ac:dyDescent="0.2">
      <c r="A11" s="160" t="s">
        <v>180</v>
      </c>
      <c r="B11" s="236" t="s">
        <v>248</v>
      </c>
      <c r="C11" s="232"/>
      <c r="D11" s="232"/>
      <c r="E11" s="233"/>
    </row>
    <row r="12" spans="1:21" ht="15" customHeight="1" x14ac:dyDescent="0.2">
      <c r="A12" s="160" t="s">
        <v>181</v>
      </c>
      <c r="B12" s="231" t="s">
        <v>249</v>
      </c>
      <c r="C12" s="232"/>
      <c r="D12" s="232"/>
      <c r="E12" s="233"/>
    </row>
    <row r="13" spans="1:21" ht="15" customHeight="1" x14ac:dyDescent="0.2">
      <c r="A13" s="160" t="s">
        <v>184</v>
      </c>
      <c r="B13" s="222" t="str">
        <f>HYPERLINK("http://maps.google.de/maps?hl=de&amp;bav=on.2,or.r_qf.&amp;bvm=bv.44770516,d.Yms&amp;biw=1395&amp;bih=916&amp;um=1&amp;ie=UTF-8&amp;q="&amp;B7&amp;"+"&amp;B8&amp;"+"&amp;B10&amp;"+"&amp;B11&amp;"+"&amp;B12&amp;"","In Google-Maps anzeigen (wenn Internet verfügbar)")</f>
        <v>In Google-Maps anzeigen (wenn Internet verfügbar)</v>
      </c>
      <c r="C13" s="223"/>
      <c r="D13" s="223"/>
      <c r="E13" s="224"/>
    </row>
    <row r="14" spans="1:21" ht="15" customHeight="1" x14ac:dyDescent="0.2">
      <c r="T14" s="161">
        <f>IF(COUNTA($T$22:$T$34)-COUNTBLANK($T$22:$T$34)=0,"",COUNTA($T$22:$T$34)-COUNTBLANK($T$22:$T$34))</f>
        <v>13</v>
      </c>
    </row>
    <row r="15" spans="1:21" ht="15" hidden="1" customHeight="1" x14ac:dyDescent="0.2"/>
    <row r="16" spans="1:21" ht="15" hidden="1" customHeight="1" x14ac:dyDescent="0.2"/>
    <row r="17" spans="1:21" ht="15" hidden="1" customHeight="1" x14ac:dyDescent="0.2"/>
    <row r="18" spans="1:21" ht="15" hidden="1" customHeight="1" x14ac:dyDescent="0.2"/>
    <row r="19" spans="1:21" ht="15" hidden="1" customHeight="1" x14ac:dyDescent="0.2"/>
    <row r="20" spans="1:21" ht="45" customHeight="1" x14ac:dyDescent="0.2">
      <c r="A20" s="1" t="s">
        <v>92</v>
      </c>
      <c r="B20" s="1" t="s">
        <v>97</v>
      </c>
      <c r="C20" s="1" t="s">
        <v>93</v>
      </c>
      <c r="D20" s="1" t="s">
        <v>94</v>
      </c>
      <c r="E20" s="1" t="s">
        <v>98</v>
      </c>
      <c r="F20" s="1" t="s">
        <v>95</v>
      </c>
      <c r="G20" s="1" t="s">
        <v>121</v>
      </c>
      <c r="H20" s="1" t="s">
        <v>108</v>
      </c>
      <c r="I20" s="1" t="s">
        <v>109</v>
      </c>
      <c r="J20" s="1" t="s">
        <v>99</v>
      </c>
      <c r="K20" s="1" t="s">
        <v>106</v>
      </c>
      <c r="L20" s="1" t="s">
        <v>141</v>
      </c>
      <c r="M20" s="1" t="s">
        <v>111</v>
      </c>
      <c r="N20" s="1" t="s">
        <v>107</v>
      </c>
      <c r="O20" s="1" t="s">
        <v>112</v>
      </c>
      <c r="P20" s="1" t="s">
        <v>113</v>
      </c>
      <c r="Q20" s="1" t="s">
        <v>114</v>
      </c>
      <c r="R20" s="1" t="s">
        <v>201</v>
      </c>
      <c r="S20" s="1" t="s">
        <v>140</v>
      </c>
    </row>
    <row r="21" spans="1:21" ht="29.1" customHeight="1" x14ac:dyDescent="0.2">
      <c r="A21" s="162" t="s">
        <v>125</v>
      </c>
      <c r="B21" s="14"/>
      <c r="C21" s="14"/>
      <c r="D21" s="14"/>
      <c r="E21" s="14"/>
      <c r="F21" s="14"/>
      <c r="G21" s="163">
        <f>SUM($G$22:$G$34)</f>
        <v>434.95999999999992</v>
      </c>
      <c r="H21" s="163">
        <f>SUM($H$22:$H$34)</f>
        <v>0</v>
      </c>
      <c r="I21" s="163">
        <f>SUM($I$22:$I$34)</f>
        <v>1</v>
      </c>
      <c r="J21" s="95"/>
      <c r="K21" s="95"/>
      <c r="L21" s="164">
        <f>MAX(L22:L34)</f>
        <v>215.33</v>
      </c>
      <c r="M21" s="163">
        <f>SUM($M$22:$M$34)</f>
        <v>64343.089999999989</v>
      </c>
      <c r="N21" s="95"/>
      <c r="O21" s="95"/>
      <c r="P21" s="163">
        <f>SUM($P$22:$P$34)</f>
        <v>0</v>
      </c>
      <c r="Q21" s="163">
        <f ca="1">SUM($Q$22:$Q$34)</f>
        <v>0</v>
      </c>
      <c r="R21" s="163">
        <f>ROUND(IF(L21=0,0,P21/L21),2)</f>
        <v>0</v>
      </c>
      <c r="S21" s="163">
        <f ca="1">ROUND(IF(L21=0,0,Q21/L21),2)</f>
        <v>0</v>
      </c>
    </row>
    <row r="22" spans="1:21" ht="15" customHeight="1" x14ac:dyDescent="0.2">
      <c r="A22" s="153">
        <v>1</v>
      </c>
      <c r="B22" s="165"/>
      <c r="C22" s="166"/>
      <c r="D22" s="166"/>
      <c r="E22" s="166" t="s">
        <v>405</v>
      </c>
      <c r="F22" s="166" t="s">
        <v>293</v>
      </c>
      <c r="G22" s="167">
        <v>207.65</v>
      </c>
      <c r="H22" s="167"/>
      <c r="I22" s="167"/>
      <c r="J22" s="153" t="s">
        <v>314</v>
      </c>
      <c r="K22" s="167">
        <v>5</v>
      </c>
      <c r="L22" s="95">
        <f>VLOOKUP(K22,Reinigungstage!A10:D31,4,FALSE)</f>
        <v>215.33</v>
      </c>
      <c r="M22" s="95">
        <f t="shared" ref="M22:M34" si="0">ROUND(IF(L22=0,0,L22*G22),2)</f>
        <v>44713.27</v>
      </c>
      <c r="N22" s="168">
        <f t="shared" ref="N22:N34" si="1">VLOOKUP(J22,$G$4:$H$9,2,FALSE)</f>
        <v>0</v>
      </c>
      <c r="O22" s="95">
        <f ca="1">IF('SVS UnterhaltsRG'!H61="",0,'SVS UnterhaltsRG'!H61)</f>
        <v>0</v>
      </c>
      <c r="P22" s="95">
        <f t="shared" ref="P22:P34" si="2">ROUND(IF(N22=0,0,M22/N22),2)</f>
        <v>0</v>
      </c>
      <c r="Q22" s="95">
        <f t="shared" ref="Q22:Q34" ca="1" si="3">IF(M22=0,0,IF(O22="",0,ROUND(P22*O22,2)))</f>
        <v>0</v>
      </c>
      <c r="R22" s="95">
        <f t="shared" ref="R22:R34" si="4">ROUND(IF(P22=0,0,P22/L22),2)</f>
        <v>0</v>
      </c>
      <c r="S22" s="95">
        <f t="shared" ref="S22:S34" ca="1" si="5">ROUND(IF(Q22=0,0,Q22/L22),2)</f>
        <v>0</v>
      </c>
      <c r="T22" s="3" t="str">
        <f t="shared" ref="T22:T34" si="6">IF(M22=0,"",IF(N22=0,"Leistungswert eintragen",IF(O22=0,"SVS prüfen","")))</f>
        <v>Leistungswert eintragen</v>
      </c>
      <c r="U22" s="3">
        <f t="shared" ref="U22:U34" si="7">VLOOKUP(J22,$U$4:$V$9,2,FALSE)</f>
        <v>0</v>
      </c>
    </row>
    <row r="23" spans="1:21" ht="15" customHeight="1" x14ac:dyDescent="0.2">
      <c r="A23" s="153">
        <v>2</v>
      </c>
      <c r="B23" s="165"/>
      <c r="C23" s="166"/>
      <c r="D23" s="166"/>
      <c r="E23" s="166" t="s">
        <v>406</v>
      </c>
      <c r="F23" s="166" t="s">
        <v>407</v>
      </c>
      <c r="G23" s="167">
        <v>98</v>
      </c>
      <c r="H23" s="167"/>
      <c r="I23" s="167"/>
      <c r="J23" s="153" t="s">
        <v>312</v>
      </c>
      <c r="K23" s="153" t="s">
        <v>162</v>
      </c>
      <c r="L23" s="95">
        <f>VLOOKUP(K23,Reinigungstage!A10:D31,4,FALSE)</f>
        <v>11</v>
      </c>
      <c r="M23" s="95">
        <f t="shared" si="0"/>
        <v>1078</v>
      </c>
      <c r="N23" s="168">
        <f t="shared" si="1"/>
        <v>0</v>
      </c>
      <c r="O23" s="95">
        <f ca="1">IF('SVS UnterhaltsRG'!H61="",0,'SVS UnterhaltsRG'!H61)</f>
        <v>0</v>
      </c>
      <c r="P23" s="95">
        <f t="shared" si="2"/>
        <v>0</v>
      </c>
      <c r="Q23" s="95">
        <f t="shared" ca="1" si="3"/>
        <v>0</v>
      </c>
      <c r="R23" s="95">
        <f t="shared" si="4"/>
        <v>0</v>
      </c>
      <c r="S23" s="95">
        <f t="shared" ca="1" si="5"/>
        <v>0</v>
      </c>
      <c r="T23" s="3" t="str">
        <f t="shared" si="6"/>
        <v>Leistungswert eintragen</v>
      </c>
      <c r="U23" s="3">
        <f t="shared" si="7"/>
        <v>0</v>
      </c>
    </row>
    <row r="24" spans="1:21" ht="15" customHeight="1" x14ac:dyDescent="0.2">
      <c r="A24" s="153">
        <v>3</v>
      </c>
      <c r="B24" s="165"/>
      <c r="C24" s="166"/>
      <c r="D24" s="166" t="s">
        <v>301</v>
      </c>
      <c r="E24" s="166" t="s">
        <v>295</v>
      </c>
      <c r="F24" s="166" t="s">
        <v>293</v>
      </c>
      <c r="G24" s="167">
        <v>7.12</v>
      </c>
      <c r="H24" s="167"/>
      <c r="I24" s="167"/>
      <c r="J24" s="153" t="s">
        <v>314</v>
      </c>
      <c r="K24" s="167">
        <v>5</v>
      </c>
      <c r="L24" s="95">
        <f>VLOOKUP(K24,Reinigungstage!A10:D31,4,FALSE)</f>
        <v>215.33</v>
      </c>
      <c r="M24" s="95">
        <f t="shared" si="0"/>
        <v>1533.15</v>
      </c>
      <c r="N24" s="168">
        <f t="shared" si="1"/>
        <v>0</v>
      </c>
      <c r="O24" s="95">
        <f ca="1">IF('SVS UnterhaltsRG'!H61="",0,'SVS UnterhaltsRG'!H61)</f>
        <v>0</v>
      </c>
      <c r="P24" s="95">
        <f t="shared" si="2"/>
        <v>0</v>
      </c>
      <c r="Q24" s="95">
        <f t="shared" ca="1" si="3"/>
        <v>0</v>
      </c>
      <c r="R24" s="95">
        <f t="shared" si="4"/>
        <v>0</v>
      </c>
      <c r="S24" s="95">
        <f t="shared" ca="1" si="5"/>
        <v>0</v>
      </c>
      <c r="T24" s="3" t="str">
        <f t="shared" si="6"/>
        <v>Leistungswert eintragen</v>
      </c>
      <c r="U24" s="3">
        <f t="shared" si="7"/>
        <v>0</v>
      </c>
    </row>
    <row r="25" spans="1:21" ht="15" customHeight="1" x14ac:dyDescent="0.2">
      <c r="A25" s="153">
        <v>4</v>
      </c>
      <c r="B25" s="165"/>
      <c r="C25" s="166"/>
      <c r="D25" s="166" t="s">
        <v>290</v>
      </c>
      <c r="E25" s="166" t="s">
        <v>295</v>
      </c>
      <c r="F25" s="166" t="s">
        <v>293</v>
      </c>
      <c r="G25" s="167">
        <v>2.46</v>
      </c>
      <c r="H25" s="167"/>
      <c r="I25" s="167"/>
      <c r="J25" s="153" t="s">
        <v>314</v>
      </c>
      <c r="K25" s="167">
        <v>5</v>
      </c>
      <c r="L25" s="95">
        <f>VLOOKUP(K25,Reinigungstage!A10:D31,4,FALSE)</f>
        <v>215.33</v>
      </c>
      <c r="M25" s="95">
        <f t="shared" si="0"/>
        <v>529.71</v>
      </c>
      <c r="N25" s="168">
        <f t="shared" si="1"/>
        <v>0</v>
      </c>
      <c r="O25" s="95">
        <f ca="1">IF('SVS UnterhaltsRG'!H61="",0,'SVS UnterhaltsRG'!H61)</f>
        <v>0</v>
      </c>
      <c r="P25" s="95">
        <f t="shared" si="2"/>
        <v>0</v>
      </c>
      <c r="Q25" s="95">
        <f t="shared" ca="1" si="3"/>
        <v>0</v>
      </c>
      <c r="R25" s="95">
        <f t="shared" si="4"/>
        <v>0</v>
      </c>
      <c r="S25" s="95">
        <f t="shared" ca="1" si="5"/>
        <v>0</v>
      </c>
      <c r="T25" s="3" t="str">
        <f t="shared" si="6"/>
        <v>Leistungswert eintragen</v>
      </c>
      <c r="U25" s="3">
        <f t="shared" si="7"/>
        <v>0</v>
      </c>
    </row>
    <row r="26" spans="1:21" ht="15" customHeight="1" x14ac:dyDescent="0.2">
      <c r="A26" s="153">
        <v>5</v>
      </c>
      <c r="B26" s="165"/>
      <c r="C26" s="166"/>
      <c r="D26" s="166" t="s">
        <v>290</v>
      </c>
      <c r="E26" s="166" t="s">
        <v>291</v>
      </c>
      <c r="F26" s="166" t="s">
        <v>293</v>
      </c>
      <c r="G26" s="167">
        <v>18.329999999999998</v>
      </c>
      <c r="H26" s="167"/>
      <c r="I26" s="167"/>
      <c r="J26" s="153" t="s">
        <v>291</v>
      </c>
      <c r="K26" s="167">
        <v>5</v>
      </c>
      <c r="L26" s="95">
        <f>VLOOKUP(K26,Reinigungstage!A10:D31,4,FALSE)</f>
        <v>215.33</v>
      </c>
      <c r="M26" s="95">
        <f t="shared" si="0"/>
        <v>3947</v>
      </c>
      <c r="N26" s="168">
        <f t="shared" si="1"/>
        <v>0</v>
      </c>
      <c r="O26" s="95">
        <f ca="1">IF('SVS UnterhaltsRG'!H61="",0,'SVS UnterhaltsRG'!H61)</f>
        <v>0</v>
      </c>
      <c r="P26" s="95">
        <f t="shared" si="2"/>
        <v>0</v>
      </c>
      <c r="Q26" s="95">
        <f t="shared" ca="1" si="3"/>
        <v>0</v>
      </c>
      <c r="R26" s="95">
        <f t="shared" si="4"/>
        <v>0</v>
      </c>
      <c r="S26" s="95">
        <f t="shared" ca="1" si="5"/>
        <v>0</v>
      </c>
      <c r="T26" s="3" t="str">
        <f t="shared" si="6"/>
        <v>Leistungswert eintragen</v>
      </c>
      <c r="U26" s="3">
        <f t="shared" si="7"/>
        <v>0</v>
      </c>
    </row>
    <row r="27" spans="1:21" ht="15" customHeight="1" x14ac:dyDescent="0.2">
      <c r="A27" s="153">
        <v>6</v>
      </c>
      <c r="B27" s="165"/>
      <c r="C27" s="166"/>
      <c r="D27" s="166" t="s">
        <v>290</v>
      </c>
      <c r="E27" s="166" t="s">
        <v>292</v>
      </c>
      <c r="F27" s="166" t="s">
        <v>293</v>
      </c>
      <c r="G27" s="167">
        <v>6.8</v>
      </c>
      <c r="H27" s="167"/>
      <c r="I27" s="167"/>
      <c r="J27" s="153" t="s">
        <v>314</v>
      </c>
      <c r="K27" s="167">
        <v>5</v>
      </c>
      <c r="L27" s="95">
        <f>VLOOKUP(K27,Reinigungstage!A10:D31,4,FALSE)</f>
        <v>215.33</v>
      </c>
      <c r="M27" s="95">
        <f t="shared" si="0"/>
        <v>1464.24</v>
      </c>
      <c r="N27" s="168">
        <f t="shared" si="1"/>
        <v>0</v>
      </c>
      <c r="O27" s="95">
        <f ca="1">IF('SVS UnterhaltsRG'!H61="",0,'SVS UnterhaltsRG'!H61)</f>
        <v>0</v>
      </c>
      <c r="P27" s="95">
        <f t="shared" si="2"/>
        <v>0</v>
      </c>
      <c r="Q27" s="95">
        <f t="shared" ca="1" si="3"/>
        <v>0</v>
      </c>
      <c r="R27" s="95">
        <f t="shared" si="4"/>
        <v>0</v>
      </c>
      <c r="S27" s="95">
        <f t="shared" ca="1" si="5"/>
        <v>0</v>
      </c>
      <c r="T27" s="3" t="str">
        <f t="shared" si="6"/>
        <v>Leistungswert eintragen</v>
      </c>
      <c r="U27" s="3">
        <f t="shared" si="7"/>
        <v>0</v>
      </c>
    </row>
    <row r="28" spans="1:21" ht="15" customHeight="1" x14ac:dyDescent="0.2">
      <c r="A28" s="153">
        <v>7</v>
      </c>
      <c r="B28" s="165"/>
      <c r="C28" s="166"/>
      <c r="D28" s="166" t="s">
        <v>301</v>
      </c>
      <c r="E28" s="166" t="s">
        <v>291</v>
      </c>
      <c r="F28" s="166" t="s">
        <v>293</v>
      </c>
      <c r="G28" s="167">
        <v>10.98</v>
      </c>
      <c r="H28" s="167"/>
      <c r="I28" s="167"/>
      <c r="J28" s="153" t="s">
        <v>291</v>
      </c>
      <c r="K28" s="167">
        <v>5</v>
      </c>
      <c r="L28" s="95">
        <f>VLOOKUP(K28,Reinigungstage!A10:D31,4,FALSE)</f>
        <v>215.33</v>
      </c>
      <c r="M28" s="95">
        <f t="shared" si="0"/>
        <v>2364.3200000000002</v>
      </c>
      <c r="N28" s="168">
        <f t="shared" si="1"/>
        <v>0</v>
      </c>
      <c r="O28" s="95">
        <f ca="1">IF('SVS UnterhaltsRG'!H61="",0,'SVS UnterhaltsRG'!H61)</f>
        <v>0</v>
      </c>
      <c r="P28" s="95">
        <f t="shared" si="2"/>
        <v>0</v>
      </c>
      <c r="Q28" s="95">
        <f t="shared" ca="1" si="3"/>
        <v>0</v>
      </c>
      <c r="R28" s="95">
        <f t="shared" si="4"/>
        <v>0</v>
      </c>
      <c r="S28" s="95">
        <f t="shared" ca="1" si="5"/>
        <v>0</v>
      </c>
      <c r="T28" s="3" t="str">
        <f t="shared" si="6"/>
        <v>Leistungswert eintragen</v>
      </c>
      <c r="U28" s="3">
        <f t="shared" si="7"/>
        <v>0</v>
      </c>
    </row>
    <row r="29" spans="1:21" ht="15" customHeight="1" x14ac:dyDescent="0.2">
      <c r="A29" s="153">
        <v>8</v>
      </c>
      <c r="B29" s="165"/>
      <c r="C29" s="166"/>
      <c r="D29" s="166" t="s">
        <v>301</v>
      </c>
      <c r="E29" s="166" t="s">
        <v>292</v>
      </c>
      <c r="F29" s="166" t="s">
        <v>293</v>
      </c>
      <c r="G29" s="167">
        <v>7.09</v>
      </c>
      <c r="H29" s="167"/>
      <c r="I29" s="167"/>
      <c r="J29" s="153" t="s">
        <v>314</v>
      </c>
      <c r="K29" s="167">
        <v>5</v>
      </c>
      <c r="L29" s="95">
        <f>VLOOKUP(K29,Reinigungstage!A10:D31,4,FALSE)</f>
        <v>215.33</v>
      </c>
      <c r="M29" s="95">
        <f t="shared" si="0"/>
        <v>1526.69</v>
      </c>
      <c r="N29" s="168">
        <f t="shared" si="1"/>
        <v>0</v>
      </c>
      <c r="O29" s="95">
        <f ca="1">IF('SVS UnterhaltsRG'!H61="",0,'SVS UnterhaltsRG'!H61)</f>
        <v>0</v>
      </c>
      <c r="P29" s="95">
        <f t="shared" si="2"/>
        <v>0</v>
      </c>
      <c r="Q29" s="95">
        <f t="shared" ca="1" si="3"/>
        <v>0</v>
      </c>
      <c r="R29" s="95">
        <f t="shared" si="4"/>
        <v>0</v>
      </c>
      <c r="S29" s="95">
        <f t="shared" ca="1" si="5"/>
        <v>0</v>
      </c>
      <c r="T29" s="3" t="str">
        <f t="shared" si="6"/>
        <v>Leistungswert eintragen</v>
      </c>
      <c r="U29" s="3">
        <f t="shared" si="7"/>
        <v>0</v>
      </c>
    </row>
    <row r="30" spans="1:21" ht="15" customHeight="1" x14ac:dyDescent="0.2">
      <c r="A30" s="153">
        <v>9</v>
      </c>
      <c r="B30" s="165"/>
      <c r="C30" s="166"/>
      <c r="D30" s="166"/>
      <c r="E30" s="166" t="s">
        <v>288</v>
      </c>
      <c r="F30" s="166" t="s">
        <v>293</v>
      </c>
      <c r="G30" s="167">
        <v>14.32</v>
      </c>
      <c r="H30" s="167"/>
      <c r="I30" s="167"/>
      <c r="J30" s="153" t="s">
        <v>313</v>
      </c>
      <c r="K30" s="167">
        <v>5</v>
      </c>
      <c r="L30" s="95">
        <f>VLOOKUP(K30,Reinigungstage!A10:D31,4,FALSE)</f>
        <v>215.33</v>
      </c>
      <c r="M30" s="95">
        <f t="shared" si="0"/>
        <v>3083.53</v>
      </c>
      <c r="N30" s="168">
        <f t="shared" si="1"/>
        <v>0</v>
      </c>
      <c r="O30" s="95">
        <f ca="1">IF('SVS UnterhaltsRG'!H61="",0,'SVS UnterhaltsRG'!H61)</f>
        <v>0</v>
      </c>
      <c r="P30" s="95">
        <f t="shared" si="2"/>
        <v>0</v>
      </c>
      <c r="Q30" s="95">
        <f t="shared" ca="1" si="3"/>
        <v>0</v>
      </c>
      <c r="R30" s="95">
        <f t="shared" si="4"/>
        <v>0</v>
      </c>
      <c r="S30" s="95">
        <f t="shared" ca="1" si="5"/>
        <v>0</v>
      </c>
      <c r="T30" s="3" t="str">
        <f t="shared" si="6"/>
        <v>Leistungswert eintragen</v>
      </c>
      <c r="U30" s="3">
        <f t="shared" si="7"/>
        <v>0</v>
      </c>
    </row>
    <row r="31" spans="1:21" ht="15" customHeight="1" x14ac:dyDescent="0.2">
      <c r="A31" s="153">
        <v>10</v>
      </c>
      <c r="B31" s="165"/>
      <c r="C31" s="166"/>
      <c r="D31" s="166"/>
      <c r="E31" s="166" t="s">
        <v>283</v>
      </c>
      <c r="F31" s="166" t="s">
        <v>293</v>
      </c>
      <c r="G31" s="167">
        <v>11.59</v>
      </c>
      <c r="H31" s="167"/>
      <c r="I31" s="167">
        <v>1</v>
      </c>
      <c r="J31" s="153" t="s">
        <v>313</v>
      </c>
      <c r="K31" s="167">
        <v>5</v>
      </c>
      <c r="L31" s="95">
        <f>VLOOKUP(K31,Reinigungstage!A10:D31,4,FALSE)</f>
        <v>215.33</v>
      </c>
      <c r="M31" s="95">
        <f t="shared" si="0"/>
        <v>2495.67</v>
      </c>
      <c r="N31" s="168">
        <f t="shared" si="1"/>
        <v>0</v>
      </c>
      <c r="O31" s="95">
        <f ca="1">IF('SVS UnterhaltsRG'!H61="",0,'SVS UnterhaltsRG'!H61)</f>
        <v>0</v>
      </c>
      <c r="P31" s="95">
        <f t="shared" si="2"/>
        <v>0</v>
      </c>
      <c r="Q31" s="95">
        <f t="shared" ca="1" si="3"/>
        <v>0</v>
      </c>
      <c r="R31" s="95">
        <f t="shared" si="4"/>
        <v>0</v>
      </c>
      <c r="S31" s="95">
        <f t="shared" ca="1" si="5"/>
        <v>0</v>
      </c>
      <c r="T31" s="3" t="str">
        <f t="shared" si="6"/>
        <v>Leistungswert eintragen</v>
      </c>
      <c r="U31" s="3">
        <f t="shared" si="7"/>
        <v>0</v>
      </c>
    </row>
    <row r="32" spans="1:21" ht="15" customHeight="1" x14ac:dyDescent="0.2">
      <c r="A32" s="153">
        <v>11</v>
      </c>
      <c r="B32" s="165"/>
      <c r="C32" s="166"/>
      <c r="D32" s="166"/>
      <c r="E32" s="166" t="s">
        <v>312</v>
      </c>
      <c r="F32" s="166" t="s">
        <v>293</v>
      </c>
      <c r="G32" s="167">
        <v>19.47</v>
      </c>
      <c r="H32" s="167"/>
      <c r="I32" s="167"/>
      <c r="J32" s="153" t="s">
        <v>312</v>
      </c>
      <c r="K32" s="153" t="s">
        <v>162</v>
      </c>
      <c r="L32" s="95">
        <f>VLOOKUP(K32,Reinigungstage!A10:D31,4,FALSE)</f>
        <v>11</v>
      </c>
      <c r="M32" s="95">
        <f t="shared" si="0"/>
        <v>214.17</v>
      </c>
      <c r="N32" s="168">
        <f t="shared" si="1"/>
        <v>0</v>
      </c>
      <c r="O32" s="95">
        <f ca="1">IF('SVS UnterhaltsRG'!H61="",0,'SVS UnterhaltsRG'!H61)</f>
        <v>0</v>
      </c>
      <c r="P32" s="95">
        <f t="shared" si="2"/>
        <v>0</v>
      </c>
      <c r="Q32" s="95">
        <f t="shared" ca="1" si="3"/>
        <v>0</v>
      </c>
      <c r="R32" s="95">
        <f t="shared" si="4"/>
        <v>0</v>
      </c>
      <c r="S32" s="95">
        <f t="shared" ca="1" si="5"/>
        <v>0</v>
      </c>
      <c r="T32" s="3" t="str">
        <f t="shared" si="6"/>
        <v>Leistungswert eintragen</v>
      </c>
      <c r="U32" s="3">
        <f t="shared" si="7"/>
        <v>0</v>
      </c>
    </row>
    <row r="33" spans="1:21" ht="15" customHeight="1" x14ac:dyDescent="0.2">
      <c r="A33" s="153">
        <v>12</v>
      </c>
      <c r="B33" s="165"/>
      <c r="C33" s="166"/>
      <c r="D33" s="166"/>
      <c r="E33" s="166" t="s">
        <v>408</v>
      </c>
      <c r="F33" s="166" t="s">
        <v>293</v>
      </c>
      <c r="G33" s="167">
        <v>14.45</v>
      </c>
      <c r="H33" s="167"/>
      <c r="I33" s="167"/>
      <c r="J33" s="153" t="s">
        <v>315</v>
      </c>
      <c r="K33" s="167">
        <v>1</v>
      </c>
      <c r="L33" s="95">
        <f>VLOOKUP(K33,Reinigungstage!A10:D31,4,FALSE)</f>
        <v>44.73</v>
      </c>
      <c r="M33" s="95">
        <f t="shared" si="0"/>
        <v>646.35</v>
      </c>
      <c r="N33" s="168">
        <f t="shared" si="1"/>
        <v>0</v>
      </c>
      <c r="O33" s="95">
        <f ca="1">IF('SVS UnterhaltsRG'!H61="",0,'SVS UnterhaltsRG'!H61)</f>
        <v>0</v>
      </c>
      <c r="P33" s="95">
        <f t="shared" si="2"/>
        <v>0</v>
      </c>
      <c r="Q33" s="95">
        <f t="shared" ca="1" si="3"/>
        <v>0</v>
      </c>
      <c r="R33" s="95">
        <f t="shared" si="4"/>
        <v>0</v>
      </c>
      <c r="S33" s="95">
        <f t="shared" ca="1" si="5"/>
        <v>0</v>
      </c>
      <c r="T33" s="3" t="str">
        <f t="shared" si="6"/>
        <v>Leistungswert eintragen</v>
      </c>
      <c r="U33" s="3">
        <f t="shared" si="7"/>
        <v>0</v>
      </c>
    </row>
    <row r="34" spans="1:21" ht="15" customHeight="1" x14ac:dyDescent="0.2">
      <c r="A34" s="153">
        <v>13</v>
      </c>
      <c r="B34" s="165"/>
      <c r="C34" s="166"/>
      <c r="D34" s="166"/>
      <c r="E34" s="166" t="s">
        <v>402</v>
      </c>
      <c r="F34" s="166" t="s">
        <v>287</v>
      </c>
      <c r="G34" s="167">
        <v>16.7</v>
      </c>
      <c r="H34" s="167"/>
      <c r="I34" s="167"/>
      <c r="J34" s="153" t="s">
        <v>402</v>
      </c>
      <c r="K34" s="167">
        <v>1</v>
      </c>
      <c r="L34" s="95">
        <f>VLOOKUP(K34,Reinigungstage!A10:D31,4,FALSE)</f>
        <v>44.73</v>
      </c>
      <c r="M34" s="95">
        <f t="shared" si="0"/>
        <v>746.99</v>
      </c>
      <c r="N34" s="168">
        <f t="shared" si="1"/>
        <v>0</v>
      </c>
      <c r="O34" s="95">
        <f ca="1">IF('SVS UnterhaltsRG'!H61="",0,'SVS UnterhaltsRG'!H61)</f>
        <v>0</v>
      </c>
      <c r="P34" s="95">
        <f t="shared" si="2"/>
        <v>0</v>
      </c>
      <c r="Q34" s="95">
        <f t="shared" ca="1" si="3"/>
        <v>0</v>
      </c>
      <c r="R34" s="95">
        <f t="shared" si="4"/>
        <v>0</v>
      </c>
      <c r="S34" s="95">
        <f t="shared" ca="1" si="5"/>
        <v>0</v>
      </c>
      <c r="T34" s="3" t="str">
        <f t="shared" si="6"/>
        <v>Leistungswert eintragen</v>
      </c>
      <c r="U34" s="3">
        <f t="shared" si="7"/>
        <v>0</v>
      </c>
    </row>
  </sheetData>
  <sheetProtection algorithmName="SHA-512" hashValue="55rU1jNsHLJ7pRjvjH/QNYr84/gKZIKkmfBzEp1pe7sg7LiwzMtzsErvAAibRqgJj9MqasMeKzis0IDd4lIRCQ==" saltValue="tJDy2va3i6gN03AoeY6Wfw==" spinCount="100000" sheet="1" objects="1" scenarios="1"/>
  <sortState xmlns:xlrd2="http://schemas.microsoft.com/office/spreadsheetml/2017/richdata2" ref="U4:U9">
    <sortCondition ref="U4"/>
  </sortState>
  <mergeCells count="16">
    <mergeCell ref="B13:E13"/>
    <mergeCell ref="B4:E5"/>
    <mergeCell ref="B6:E6"/>
    <mergeCell ref="B7:E7"/>
    <mergeCell ref="B8:E8"/>
    <mergeCell ref="B9:E9"/>
    <mergeCell ref="B10:E10"/>
    <mergeCell ref="B11:E11"/>
    <mergeCell ref="B12:E12"/>
    <mergeCell ref="N2:Q5"/>
    <mergeCell ref="A4:A5"/>
    <mergeCell ref="A2:E2"/>
    <mergeCell ref="G2:G3"/>
    <mergeCell ref="H2:H3"/>
    <mergeCell ref="I2:I3"/>
    <mergeCell ref="J2:J3"/>
  </mergeCells>
  <conditionalFormatting sqref="T22:T34">
    <cfRule type="containsText" dxfId="150" priority="1" stopIfTrue="1" operator="containsText" text="SVS prüfen">
      <formula>NOT(ISERROR(SEARCH("SVS prüfen",T22)))</formula>
    </cfRule>
    <cfRule type="containsText" dxfId="149" priority="2" stopIfTrue="1" operator="containsText" text="Leistungswert eintragen">
      <formula>NOT(ISERROR(SEARCH("Leistungswert eintragen",T22)))</formula>
    </cfRule>
  </conditionalFormatting>
  <hyperlinks>
    <hyperlink ref="M1" location="Inhaltsverzeichnis!A1" display="Zurück zum Inhaltsverzeichnis" xr:uid="{7C258090-353F-40B4-BED8-38554BD83F3A}"/>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&amp;RKal Unter Hallenbad&amp;LStadt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sizeWithCells="1">
                  <from>
                    <xdr:col>12</xdr:col>
                    <xdr:colOff>19050</xdr:colOff>
                    <xdr:row>1</xdr:row>
                    <xdr:rowOff>38100</xdr:rowOff>
                  </from>
                  <to>
                    <xdr:col>12</xdr:col>
                    <xdr:colOff>809625</xdr:colOff>
                    <xdr:row>2</xdr:row>
                    <xdr:rowOff>19050</xdr:rowOff>
                  </to>
                </anchor>
              </controlPr>
            </control>
          </mc:Choice>
        </mc:AlternateContent>
        <mc:AlternateContent xmlns:mc="http://schemas.openxmlformats.org/markup-compatibility/2006">
          <mc:Choice Requires="x14">
            <control shapeId="91138" r:id="rId5" name="Check Box 2">
              <controlPr defaultSize="0" autoFill="0" autoLine="0" autoPict="0" altText="Hinweis 2">
                <anchor moveWithCells="1" sizeWithCells="1">
                  <from>
                    <xdr:col>12</xdr:col>
                    <xdr:colOff>19050</xdr:colOff>
                    <xdr:row>2</xdr:row>
                    <xdr:rowOff>19050</xdr:rowOff>
                  </from>
                  <to>
                    <xdr:col>12</xdr:col>
                    <xdr:colOff>809625</xdr:colOff>
                    <xdr:row>2</xdr:row>
                    <xdr:rowOff>266700</xdr:rowOff>
                  </to>
                </anchor>
              </controlPr>
            </control>
          </mc:Choice>
        </mc:AlternateContent>
        <mc:AlternateContent xmlns:mc="http://schemas.openxmlformats.org/markup-compatibility/2006">
          <mc:Choice Requires="x14">
            <control shapeId="91139" r:id="rId6" name="Check Box 3">
              <controlPr defaultSize="0" autoFill="0" autoLine="0" autoPict="0" altText="Hinweis 3">
                <anchor moveWithCells="1" sizeWithCells="1">
                  <from>
                    <xdr:col>12</xdr:col>
                    <xdr:colOff>19050</xdr:colOff>
                    <xdr:row>3</xdr:row>
                    <xdr:rowOff>9525</xdr:rowOff>
                  </from>
                  <to>
                    <xdr:col>12</xdr:col>
                    <xdr:colOff>809625</xdr:colOff>
                    <xdr:row>4</xdr:row>
                    <xdr:rowOff>57150</xdr:rowOff>
                  </to>
                </anchor>
              </controlPr>
            </control>
          </mc:Choice>
        </mc:AlternateContent>
        <mc:AlternateContent xmlns:mc="http://schemas.openxmlformats.org/markup-compatibility/2006">
          <mc:Choice Requires="x14">
            <control shapeId="91140" r:id="rId7" name="Check Box 4">
              <controlPr defaultSize="0" autoFill="0" autoLine="0" autoPict="0" altText="Hinweis 3">
                <anchor moveWithCells="1" sizeWithCells="1">
                  <from>
                    <xdr:col>12</xdr:col>
                    <xdr:colOff>19050</xdr:colOff>
                    <xdr:row>4</xdr:row>
                    <xdr:rowOff>66675</xdr:rowOff>
                  </from>
                  <to>
                    <xdr:col>12</xdr:col>
                    <xdr:colOff>809625</xdr:colOff>
                    <xdr:row>5</xdr:row>
                    <xdr:rowOff>123825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6C345-2054-4A57-8690-1A24101D4FE0}">
  <sheetPr codeName="Tabelle44">
    <tabColor indexed="40"/>
  </sheetPr>
  <dimension ref="A1:X33"/>
  <sheetViews>
    <sheetView showGridLines="0" zoomScaleNormal="100" workbookViewId="0">
      <pane ySplit="21" topLeftCell="A22" activePane="bottomLeft" state="frozen"/>
      <selection pane="bottomLeft"/>
    </sheetView>
  </sheetViews>
  <sheetFormatPr baseColWidth="10" defaultColWidth="0" defaultRowHeight="15" customHeight="1" x14ac:dyDescent="0.2"/>
  <cols>
    <col min="1" max="1" width="11.7109375" style="3" customWidth="1"/>
    <col min="2" max="2" width="7.7109375" style="3" customWidth="1"/>
    <col min="3" max="3" width="5.7109375" style="3" customWidth="1"/>
    <col min="4" max="4" width="8.28515625" style="3" customWidth="1"/>
    <col min="5" max="5" width="21.7109375" style="3" customWidth="1"/>
    <col min="6" max="6" width="13.5703125" style="3" bestFit="1" customWidth="1"/>
    <col min="7" max="7" width="10.7109375" style="3" customWidth="1"/>
    <col min="8" max="8" width="9.7109375" style="3" customWidth="1"/>
    <col min="9" max="9" width="11.7109375" style="3" customWidth="1"/>
    <col min="10" max="10" width="10.5703125" style="3" bestFit="1" customWidth="1"/>
    <col min="11" max="11" width="7.85546875" style="3" customWidth="1"/>
    <col min="12" max="12" width="8.7109375" style="3" customWidth="1"/>
    <col min="13" max="13" width="11.42578125" style="3" customWidth="1"/>
    <col min="14" max="14" width="9.42578125" style="3" customWidth="1"/>
    <col min="15" max="15" width="8.42578125" style="3" customWidth="1"/>
    <col min="16" max="17" width="11.42578125" style="3" customWidth="1"/>
    <col min="18" max="18" width="10.5703125" style="3" customWidth="1"/>
    <col min="19" max="19" width="25.5703125" style="3" customWidth="1"/>
    <col min="20" max="16384" width="6.42578125" style="3" hidden="1"/>
  </cols>
  <sheetData>
    <row r="1" spans="1:22" ht="15" customHeight="1" x14ac:dyDescent="0.2">
      <c r="M1" s="5" t="s">
        <v>100</v>
      </c>
    </row>
    <row r="2" spans="1:22" ht="20.45" customHeight="1" x14ac:dyDescent="0.2">
      <c r="A2" s="217" t="s">
        <v>177</v>
      </c>
      <c r="B2" s="218"/>
      <c r="C2" s="218"/>
      <c r="D2" s="218"/>
      <c r="E2" s="219"/>
      <c r="G2" s="220" t="s">
        <v>190</v>
      </c>
      <c r="H2" s="220" t="s">
        <v>182</v>
      </c>
      <c r="I2" s="220" t="s">
        <v>183</v>
      </c>
      <c r="J2" s="220" t="s">
        <v>202</v>
      </c>
      <c r="M2" s="141" t="b">
        <v>0</v>
      </c>
      <c r="N2" s="192" t="str">
        <f>IF(M2=TRUE,"Bitte tragen Sie Ihre Leistungswerte in die gelben Zellen direkt unter der Zelle Leistungswerte (m²/h) ein. Die Leistungswerte werden automatisch in die untere Kalkulation übernommen. Die linke Tabelle ist lediglich eine Ausfüllhilfe.",IF(M3=TRUE,"Wenn eine Jahresreinigungsfläche für eine Reinigungsgruppe mit 0 angegeben ist, brauchen Sie den Leistungswert nicht auszufüllen. Es schadet aber nichts, wenn Sie es trotzdem tun.",IF(M4=TRUE,"Sie können in der Kalkulationstabelle (unten) in jedem einzelnen Raum die Leistungswerte (gelbe Zellen) beliebig oft individuell anpassen. Mit dem individuellen Überschreiben wird die Verknüpfung zu den Leistungswerten in der obigen Tabelle aufgehoben.",IF( M5=TRUE,"Die rot markierten Informationen sind auch lediglich eine Unterstützung. Sie erscheinen, wenn gelbe Zellen in dieser Tabelle oder in den Stundenverrechnungssätzen (SVS) nicht ausgefüllt sind. Wenn keine rote Schrift mehr da ist, ist alles vollständig.",""))))</f>
        <v/>
      </c>
      <c r="O2" s="192"/>
      <c r="P2" s="192"/>
      <c r="Q2" s="192"/>
    </row>
    <row r="3" spans="1:22" ht="24" customHeight="1" x14ac:dyDescent="0.2">
      <c r="A3" s="154" t="s">
        <v>185</v>
      </c>
      <c r="B3" s="155"/>
      <c r="C3" s="155"/>
      <c r="D3" s="155"/>
      <c r="E3" s="156"/>
      <c r="G3" s="221"/>
      <c r="H3" s="221"/>
      <c r="I3" s="221"/>
      <c r="J3" s="221"/>
      <c r="M3" s="141" t="b">
        <v>0</v>
      </c>
      <c r="N3" s="192"/>
      <c r="O3" s="192"/>
      <c r="P3" s="192"/>
      <c r="Q3" s="192"/>
    </row>
    <row r="4" spans="1:22" ht="18.600000000000001" customHeight="1" x14ac:dyDescent="0.2">
      <c r="A4" s="215" t="s">
        <v>91</v>
      </c>
      <c r="B4" s="225" t="str">
        <f>IF(Inhaltsverzeichnis!C3="","",Inhaltsverzeichnis!C3)</f>
        <v/>
      </c>
      <c r="C4" s="226"/>
      <c r="D4" s="226"/>
      <c r="E4" s="227"/>
      <c r="G4" s="153" t="s">
        <v>402</v>
      </c>
      <c r="H4" s="157"/>
      <c r="I4" s="158">
        <f ca="1">SUMIF('Kal Grund Hallenbad'!J22:M33,$G$4,'Kal Grund Hallenbad'!M22:M33)</f>
        <v>16.7</v>
      </c>
      <c r="J4" s="118">
        <f>COUNTIFS('Kal Grund Hallenbad'!J22:M33,$G$4)</f>
        <v>1</v>
      </c>
      <c r="M4" s="141" t="b">
        <v>0</v>
      </c>
      <c r="N4" s="192"/>
      <c r="O4" s="192"/>
      <c r="P4" s="192"/>
      <c r="Q4" s="192"/>
      <c r="U4" s="153" t="s">
        <v>402</v>
      </c>
      <c r="V4" s="3">
        <v>17.5</v>
      </c>
    </row>
    <row r="5" spans="1:22" ht="15" customHeight="1" x14ac:dyDescent="0.2">
      <c r="A5" s="216"/>
      <c r="B5" s="228"/>
      <c r="C5" s="229"/>
      <c r="D5" s="229"/>
      <c r="E5" s="230"/>
      <c r="G5" s="153" t="s">
        <v>315</v>
      </c>
      <c r="H5" s="157"/>
      <c r="I5" s="158">
        <f ca="1">SUMIF('Kal Grund Hallenbad'!J22:M33,$G$5,'Kal Grund Hallenbad'!M22:M33)</f>
        <v>14.45</v>
      </c>
      <c r="J5" s="118">
        <f>COUNTIFS('Kal Grund Hallenbad'!J22:M33,$G$5)</f>
        <v>1</v>
      </c>
      <c r="M5" s="141" t="b">
        <v>0</v>
      </c>
      <c r="N5" s="192"/>
      <c r="O5" s="192"/>
      <c r="P5" s="192"/>
      <c r="Q5" s="192"/>
      <c r="U5" s="153" t="s">
        <v>315</v>
      </c>
      <c r="V5" s="3">
        <v>17</v>
      </c>
    </row>
    <row r="6" spans="1:22" ht="15" customHeight="1" x14ac:dyDescent="0.2">
      <c r="A6" s="159" t="s">
        <v>200</v>
      </c>
      <c r="B6" s="231" t="s">
        <v>245</v>
      </c>
      <c r="C6" s="232"/>
      <c r="D6" s="232"/>
      <c r="E6" s="233"/>
      <c r="G6" s="153" t="s">
        <v>314</v>
      </c>
      <c r="H6" s="157"/>
      <c r="I6" s="158">
        <f ca="1">SUMIF('Kal Grund Hallenbad'!J22:M33,$G$6,'Kal Grund Hallenbad'!M22:M33)</f>
        <v>231.12000000000003</v>
      </c>
      <c r="J6" s="118">
        <f>COUNTIFS('Kal Grund Hallenbad'!J22:M33,$G$6)</f>
        <v>5</v>
      </c>
      <c r="U6" s="153" t="s">
        <v>314</v>
      </c>
      <c r="V6" s="3">
        <v>10</v>
      </c>
    </row>
    <row r="7" spans="1:22" ht="15" customHeight="1" x14ac:dyDescent="0.2">
      <c r="A7" s="160" t="s">
        <v>198</v>
      </c>
      <c r="B7" s="234" t="s">
        <v>252</v>
      </c>
      <c r="C7" s="232"/>
      <c r="D7" s="232"/>
      <c r="E7" s="233"/>
      <c r="G7" s="153" t="s">
        <v>312</v>
      </c>
      <c r="H7" s="157"/>
      <c r="I7" s="158">
        <f ca="1">SUMIF('Kal Grund Hallenbad'!J22:M33,$G$7,'Kal Grund Hallenbad'!M22:M33)</f>
        <v>19.47</v>
      </c>
      <c r="J7" s="118">
        <f>COUNTIFS('Kal Grund Hallenbad'!J22:M33,$G$7)</f>
        <v>1</v>
      </c>
      <c r="U7" s="153" t="s">
        <v>312</v>
      </c>
      <c r="V7" s="3">
        <v>21.5</v>
      </c>
    </row>
    <row r="8" spans="1:22" ht="15" customHeight="1" x14ac:dyDescent="0.2">
      <c r="A8" s="160" t="s">
        <v>199</v>
      </c>
      <c r="B8" s="231"/>
      <c r="C8" s="232"/>
      <c r="D8" s="232"/>
      <c r="E8" s="233"/>
      <c r="G8" s="153" t="s">
        <v>291</v>
      </c>
      <c r="H8" s="157"/>
      <c r="I8" s="158">
        <f ca="1">SUMIF('Kal Grund Hallenbad'!J22:M33,$G$8,'Kal Grund Hallenbad'!M22:M33)</f>
        <v>29.31</v>
      </c>
      <c r="J8" s="118">
        <f>COUNTIFS('Kal Grund Hallenbad'!J22:M33,$G$8)</f>
        <v>2</v>
      </c>
      <c r="L8" s="169" t="str">
        <f>IF(N14&gt;0,"Ihre Eintragungen der Leistungswerte liegen weit über den Erfahrungswerten aus der Preisschätzung.","")</f>
        <v/>
      </c>
      <c r="U8" s="153" t="s">
        <v>291</v>
      </c>
      <c r="V8" s="3">
        <v>15</v>
      </c>
    </row>
    <row r="9" spans="1:22" ht="15" customHeight="1" x14ac:dyDescent="0.2">
      <c r="A9" s="159" t="s">
        <v>197</v>
      </c>
      <c r="B9" s="235" t="s">
        <v>252</v>
      </c>
      <c r="C9" s="232"/>
      <c r="D9" s="232"/>
      <c r="E9" s="233"/>
      <c r="G9" s="153" t="s">
        <v>313</v>
      </c>
      <c r="H9" s="157"/>
      <c r="I9" s="158">
        <f ca="1">SUMIF('Kal Grund Hallenbad'!J22:M33,$G$9,'Kal Grund Hallenbad'!M22:M33)</f>
        <v>25.91</v>
      </c>
      <c r="J9" s="118">
        <f>COUNTIFS('Kal Grund Hallenbad'!J22:M33,$G$9)</f>
        <v>2</v>
      </c>
      <c r="L9" s="169" t="str">
        <f>IF(N14&gt;0,"Bitte prüfen Sie diese.","")</f>
        <v/>
      </c>
      <c r="U9" s="153" t="s">
        <v>313</v>
      </c>
      <c r="V9" s="3">
        <v>24.5</v>
      </c>
    </row>
    <row r="10" spans="1:22" ht="15" customHeight="1" x14ac:dyDescent="0.2">
      <c r="A10" s="160" t="s">
        <v>179</v>
      </c>
      <c r="B10" s="231" t="s">
        <v>253</v>
      </c>
      <c r="C10" s="232"/>
      <c r="D10" s="232"/>
      <c r="E10" s="233"/>
      <c r="L10" s="169" t="str">
        <f>IF(N14&gt;0,"Beachten Sie, dass Sie frei in der Kalkulation dieser Leistungswerte sind und wir durch den Hinweis","")</f>
        <v/>
      </c>
    </row>
    <row r="11" spans="1:22" ht="15" customHeight="1" x14ac:dyDescent="0.2">
      <c r="A11" s="160" t="s">
        <v>180</v>
      </c>
      <c r="B11" s="236" t="s">
        <v>248</v>
      </c>
      <c r="C11" s="232"/>
      <c r="D11" s="232"/>
      <c r="E11" s="233"/>
      <c r="L11" s="169" t="str">
        <f>IF(N14&gt;0,"lediglich Fehleingaben vermeiden wollen.","")</f>
        <v/>
      </c>
    </row>
    <row r="12" spans="1:22" ht="15" customHeight="1" x14ac:dyDescent="0.2">
      <c r="A12" s="160" t="s">
        <v>181</v>
      </c>
      <c r="B12" s="231" t="s">
        <v>249</v>
      </c>
      <c r="C12" s="232"/>
      <c r="D12" s="232"/>
      <c r="E12" s="233"/>
    </row>
    <row r="13" spans="1:22" ht="15" customHeight="1" x14ac:dyDescent="0.2">
      <c r="A13" s="160" t="s">
        <v>184</v>
      </c>
      <c r="B13" s="222" t="str">
        <f>HYPERLINK("http://maps.google.de/maps?hl=de&amp;bav=on.2,or.r_qf.&amp;bvm=bv.44770516,d.Yms&amp;biw=1395&amp;bih=916&amp;um=1&amp;ie=UTF-8&amp;q="&amp;B7&amp;"+"&amp;B8&amp;"+"&amp;B10&amp;"+"&amp;B11&amp;"+"&amp;B12&amp;"","In Google-Maps anzeigen (wenn Internet verfügbar)")</f>
        <v>In Google-Maps anzeigen (wenn Internet verfügbar)</v>
      </c>
      <c r="C13" s="223"/>
      <c r="D13" s="223"/>
      <c r="E13" s="224"/>
    </row>
    <row r="14" spans="1:22" ht="15" customHeight="1" x14ac:dyDescent="0.2">
      <c r="N14" s="170">
        <f>COUNTIF(X22:X$33,1)</f>
        <v>0</v>
      </c>
      <c r="O14" s="3" t="str">
        <f>IF(N14&gt;0,"Wert(e) prüfen.","")</f>
        <v/>
      </c>
      <c r="S14" s="161">
        <f>IF(COUNTA($S$22:$S$33)-COUNTBLANK($S$22:$S$33)=0,"",COUNTA($S$22:$S$33)-COUNTBLANK($S$22:$S$33))</f>
        <v>12</v>
      </c>
    </row>
    <row r="15" spans="1:22" ht="15" hidden="1" customHeight="1" x14ac:dyDescent="0.2"/>
    <row r="16" spans="1:22" ht="15" hidden="1" customHeight="1" x14ac:dyDescent="0.2"/>
    <row r="17" spans="1:24" ht="15" hidden="1" customHeight="1" x14ac:dyDescent="0.2"/>
    <row r="18" spans="1:24" ht="15" hidden="1" customHeight="1" x14ac:dyDescent="0.2"/>
    <row r="19" spans="1:24" ht="15" hidden="1" customHeight="1" x14ac:dyDescent="0.2"/>
    <row r="20" spans="1:24" ht="45" customHeight="1" x14ac:dyDescent="0.2">
      <c r="A20" s="1" t="s">
        <v>92</v>
      </c>
      <c r="B20" s="1" t="s">
        <v>97</v>
      </c>
      <c r="C20" s="1" t="s">
        <v>93</v>
      </c>
      <c r="D20" s="1" t="s">
        <v>94</v>
      </c>
      <c r="E20" s="1" t="s">
        <v>98</v>
      </c>
      <c r="F20" s="1" t="s">
        <v>95</v>
      </c>
      <c r="G20" s="1" t="s">
        <v>121</v>
      </c>
      <c r="H20" s="1" t="s">
        <v>108</v>
      </c>
      <c r="I20" s="1" t="s">
        <v>109</v>
      </c>
      <c r="J20" s="1" t="s">
        <v>99</v>
      </c>
      <c r="K20" s="1" t="s">
        <v>106</v>
      </c>
      <c r="L20" s="1" t="s">
        <v>110</v>
      </c>
      <c r="M20" s="1" t="s">
        <v>111</v>
      </c>
      <c r="N20" s="1" t="s">
        <v>107</v>
      </c>
      <c r="O20" s="1" t="s">
        <v>112</v>
      </c>
      <c r="P20" s="1" t="s">
        <v>113</v>
      </c>
      <c r="Q20" s="1" t="s">
        <v>114</v>
      </c>
      <c r="R20" s="1" t="s">
        <v>140</v>
      </c>
    </row>
    <row r="21" spans="1:24" ht="29.1" customHeight="1" x14ac:dyDescent="0.2">
      <c r="A21" s="162" t="s">
        <v>125</v>
      </c>
      <c r="B21" s="14"/>
      <c r="C21" s="14"/>
      <c r="D21" s="14"/>
      <c r="E21" s="14"/>
      <c r="F21" s="14"/>
      <c r="G21" s="163">
        <f>SUM($G$22:$G$33)</f>
        <v>336.95999999999992</v>
      </c>
      <c r="H21" s="163">
        <f>SUM($H$22:$H$33)</f>
        <v>0</v>
      </c>
      <c r="I21" s="163">
        <f>SUM($I$22:$I$33)</f>
        <v>1</v>
      </c>
      <c r="J21" s="95"/>
      <c r="K21" s="95"/>
      <c r="L21" s="164">
        <f>MAX(L22:L33)</f>
        <v>1</v>
      </c>
      <c r="M21" s="163">
        <f>SUM($M$22:$M$33)</f>
        <v>336.95999999999992</v>
      </c>
      <c r="N21" s="95"/>
      <c r="O21" s="95"/>
      <c r="P21" s="163">
        <f>SUM($P$22:$P$33)</f>
        <v>0</v>
      </c>
      <c r="Q21" s="163">
        <f>SUM($Q$22:$Q$33)</f>
        <v>0</v>
      </c>
      <c r="R21" s="163">
        <f>ROUND(IF(Q21=0,0,Q21/L21),2)</f>
        <v>0</v>
      </c>
    </row>
    <row r="22" spans="1:24" ht="15" customHeight="1" x14ac:dyDescent="0.2">
      <c r="A22" s="153">
        <v>1</v>
      </c>
      <c r="B22" s="165"/>
      <c r="C22" s="166"/>
      <c r="D22" s="166"/>
      <c r="E22" s="166" t="s">
        <v>405</v>
      </c>
      <c r="F22" s="166" t="s">
        <v>293</v>
      </c>
      <c r="G22" s="167">
        <v>207.65</v>
      </c>
      <c r="H22" s="167"/>
      <c r="I22" s="167"/>
      <c r="J22" s="153" t="s">
        <v>314</v>
      </c>
      <c r="K22" s="153" t="s">
        <v>168</v>
      </c>
      <c r="L22" s="95">
        <f>VLOOKUP(K22,Reinigungstage!A10:P31,16,FALSE)</f>
        <v>1</v>
      </c>
      <c r="M22" s="95">
        <f t="shared" ref="M22:M33" si="0">ROUND(IF(L22=0,0,L22*G22),2)</f>
        <v>207.65</v>
      </c>
      <c r="N22" s="168">
        <f t="shared" ref="N22:N33" si="1">VLOOKUP(J22,$G$4:$H$9,2,FALSE)</f>
        <v>0</v>
      </c>
      <c r="O22" s="95">
        <f ca="1">IF('SVS GrundRG'!H61="",0,'SVS GrundRG'!H61)</f>
        <v>0</v>
      </c>
      <c r="P22" s="95">
        <f t="shared" ref="P22:P33" si="2">ROUND(IF(N22=0,0,M22/N22),2)</f>
        <v>0</v>
      </c>
      <c r="Q22" s="95">
        <f t="shared" ref="Q22:Q33" si="3">ROUND(IF(P22=0,0,P22*O22),2)</f>
        <v>0</v>
      </c>
      <c r="R22" s="95">
        <f t="shared" ref="R22:R33" si="4">ROUND(IF(P22=0,0,Q22/L22),2)</f>
        <v>0</v>
      </c>
      <c r="S22" s="3" t="str">
        <f t="shared" ref="S22:S33" si="5">IF(M22=0,"",IF(N22=0,"Leistungswert eintragen",IF(O22=0,"SVS prüfen","")))</f>
        <v>Leistungswert eintragen</v>
      </c>
      <c r="U22" s="3">
        <f t="shared" ref="U22:U33" si="6">VLOOKUP(J22,$U$4:$V$9,2,FALSE)</f>
        <v>10</v>
      </c>
      <c r="V22" s="3">
        <f t="shared" ref="V22:V33" si="7">U22*30%</f>
        <v>3</v>
      </c>
      <c r="W22" s="3">
        <f t="shared" ref="W22:W33" si="8">SUM(U22:V22)</f>
        <v>13</v>
      </c>
      <c r="X22" s="3" t="str">
        <f t="shared" ref="X22:X33" si="9">IF(N22=0,"",IF(W22&lt;N22,1,IF(W22&gt;=N22,0,"")))</f>
        <v/>
      </c>
    </row>
    <row r="23" spans="1:24" ht="15" customHeight="1" x14ac:dyDescent="0.2">
      <c r="A23" s="153">
        <v>2</v>
      </c>
      <c r="B23" s="165"/>
      <c r="C23" s="166"/>
      <c r="D23" s="166" t="s">
        <v>301</v>
      </c>
      <c r="E23" s="166" t="s">
        <v>295</v>
      </c>
      <c r="F23" s="166" t="s">
        <v>293</v>
      </c>
      <c r="G23" s="167">
        <v>7.12</v>
      </c>
      <c r="H23" s="167"/>
      <c r="I23" s="167"/>
      <c r="J23" s="153" t="s">
        <v>314</v>
      </c>
      <c r="K23" s="153" t="s">
        <v>168</v>
      </c>
      <c r="L23" s="95">
        <f>VLOOKUP(K23,Reinigungstage!A10:P31,16,FALSE)</f>
        <v>1</v>
      </c>
      <c r="M23" s="95">
        <f t="shared" si="0"/>
        <v>7.12</v>
      </c>
      <c r="N23" s="168">
        <f t="shared" si="1"/>
        <v>0</v>
      </c>
      <c r="O23" s="95">
        <f ca="1">IF('SVS GrundRG'!H61="",0,'SVS GrundRG'!H61)</f>
        <v>0</v>
      </c>
      <c r="P23" s="95">
        <f t="shared" si="2"/>
        <v>0</v>
      </c>
      <c r="Q23" s="95">
        <f t="shared" si="3"/>
        <v>0</v>
      </c>
      <c r="R23" s="95">
        <f t="shared" si="4"/>
        <v>0</v>
      </c>
      <c r="S23" s="3" t="str">
        <f t="shared" si="5"/>
        <v>Leistungswert eintragen</v>
      </c>
      <c r="U23" s="3">
        <f t="shared" si="6"/>
        <v>10</v>
      </c>
      <c r="V23" s="3">
        <f t="shared" si="7"/>
        <v>3</v>
      </c>
      <c r="W23" s="3">
        <f t="shared" si="8"/>
        <v>13</v>
      </c>
      <c r="X23" s="3" t="str">
        <f t="shared" si="9"/>
        <v/>
      </c>
    </row>
    <row r="24" spans="1:24" ht="15" customHeight="1" x14ac:dyDescent="0.2">
      <c r="A24" s="153">
        <v>3</v>
      </c>
      <c r="B24" s="165"/>
      <c r="C24" s="166"/>
      <c r="D24" s="166" t="s">
        <v>290</v>
      </c>
      <c r="E24" s="166" t="s">
        <v>295</v>
      </c>
      <c r="F24" s="166" t="s">
        <v>293</v>
      </c>
      <c r="G24" s="167">
        <v>2.46</v>
      </c>
      <c r="H24" s="167"/>
      <c r="I24" s="167"/>
      <c r="J24" s="153" t="s">
        <v>314</v>
      </c>
      <c r="K24" s="153" t="s">
        <v>168</v>
      </c>
      <c r="L24" s="95">
        <f>VLOOKUP(K24,Reinigungstage!A10:P31,16,FALSE)</f>
        <v>1</v>
      </c>
      <c r="M24" s="95">
        <f t="shared" si="0"/>
        <v>2.46</v>
      </c>
      <c r="N24" s="168">
        <f t="shared" si="1"/>
        <v>0</v>
      </c>
      <c r="O24" s="95">
        <f ca="1">IF('SVS GrundRG'!H61="",0,'SVS GrundRG'!H61)</f>
        <v>0</v>
      </c>
      <c r="P24" s="95">
        <f t="shared" si="2"/>
        <v>0</v>
      </c>
      <c r="Q24" s="95">
        <f t="shared" si="3"/>
        <v>0</v>
      </c>
      <c r="R24" s="95">
        <f t="shared" si="4"/>
        <v>0</v>
      </c>
      <c r="S24" s="3" t="str">
        <f t="shared" si="5"/>
        <v>Leistungswert eintragen</v>
      </c>
      <c r="U24" s="3">
        <f t="shared" si="6"/>
        <v>10</v>
      </c>
      <c r="V24" s="3">
        <f t="shared" si="7"/>
        <v>3</v>
      </c>
      <c r="W24" s="3">
        <f t="shared" si="8"/>
        <v>13</v>
      </c>
      <c r="X24" s="3" t="str">
        <f t="shared" si="9"/>
        <v/>
      </c>
    </row>
    <row r="25" spans="1:24" ht="15" customHeight="1" x14ac:dyDescent="0.2">
      <c r="A25" s="153">
        <v>4</v>
      </c>
      <c r="B25" s="165"/>
      <c r="C25" s="166"/>
      <c r="D25" s="166" t="s">
        <v>290</v>
      </c>
      <c r="E25" s="166" t="s">
        <v>291</v>
      </c>
      <c r="F25" s="166" t="s">
        <v>293</v>
      </c>
      <c r="G25" s="167">
        <v>18.329999999999998</v>
      </c>
      <c r="H25" s="167"/>
      <c r="I25" s="167"/>
      <c r="J25" s="153" t="s">
        <v>291</v>
      </c>
      <c r="K25" s="153" t="s">
        <v>168</v>
      </c>
      <c r="L25" s="95">
        <f>VLOOKUP(K25,Reinigungstage!A10:P31,16,FALSE)</f>
        <v>1</v>
      </c>
      <c r="M25" s="95">
        <f t="shared" si="0"/>
        <v>18.329999999999998</v>
      </c>
      <c r="N25" s="168">
        <f t="shared" si="1"/>
        <v>0</v>
      </c>
      <c r="O25" s="95">
        <f ca="1">IF('SVS GrundRG'!H61="",0,'SVS GrundRG'!H61)</f>
        <v>0</v>
      </c>
      <c r="P25" s="95">
        <f t="shared" si="2"/>
        <v>0</v>
      </c>
      <c r="Q25" s="95">
        <f t="shared" si="3"/>
        <v>0</v>
      </c>
      <c r="R25" s="95">
        <f t="shared" si="4"/>
        <v>0</v>
      </c>
      <c r="S25" s="3" t="str">
        <f t="shared" si="5"/>
        <v>Leistungswert eintragen</v>
      </c>
      <c r="U25" s="3">
        <f t="shared" si="6"/>
        <v>15</v>
      </c>
      <c r="V25" s="3">
        <f t="shared" si="7"/>
        <v>4.5</v>
      </c>
      <c r="W25" s="3">
        <f t="shared" si="8"/>
        <v>19.5</v>
      </c>
      <c r="X25" s="3" t="str">
        <f t="shared" si="9"/>
        <v/>
      </c>
    </row>
    <row r="26" spans="1:24" ht="15" customHeight="1" x14ac:dyDescent="0.2">
      <c r="A26" s="153">
        <v>5</v>
      </c>
      <c r="B26" s="165"/>
      <c r="C26" s="166"/>
      <c r="D26" s="166" t="s">
        <v>290</v>
      </c>
      <c r="E26" s="166" t="s">
        <v>292</v>
      </c>
      <c r="F26" s="166" t="s">
        <v>293</v>
      </c>
      <c r="G26" s="167">
        <v>6.8</v>
      </c>
      <c r="H26" s="167"/>
      <c r="I26" s="167"/>
      <c r="J26" s="153" t="s">
        <v>314</v>
      </c>
      <c r="K26" s="153" t="s">
        <v>168</v>
      </c>
      <c r="L26" s="95">
        <f>VLOOKUP(K26,Reinigungstage!A10:P31,16,FALSE)</f>
        <v>1</v>
      </c>
      <c r="M26" s="95">
        <f t="shared" si="0"/>
        <v>6.8</v>
      </c>
      <c r="N26" s="168">
        <f t="shared" si="1"/>
        <v>0</v>
      </c>
      <c r="O26" s="95">
        <f ca="1">IF('SVS GrundRG'!H61="",0,'SVS GrundRG'!H61)</f>
        <v>0</v>
      </c>
      <c r="P26" s="95">
        <f t="shared" si="2"/>
        <v>0</v>
      </c>
      <c r="Q26" s="95">
        <f t="shared" si="3"/>
        <v>0</v>
      </c>
      <c r="R26" s="95">
        <f t="shared" si="4"/>
        <v>0</v>
      </c>
      <c r="S26" s="3" t="str">
        <f t="shared" si="5"/>
        <v>Leistungswert eintragen</v>
      </c>
      <c r="U26" s="3">
        <f t="shared" si="6"/>
        <v>10</v>
      </c>
      <c r="V26" s="3">
        <f t="shared" si="7"/>
        <v>3</v>
      </c>
      <c r="W26" s="3">
        <f t="shared" si="8"/>
        <v>13</v>
      </c>
      <c r="X26" s="3" t="str">
        <f t="shared" si="9"/>
        <v/>
      </c>
    </row>
    <row r="27" spans="1:24" ht="15" customHeight="1" x14ac:dyDescent="0.2">
      <c r="A27" s="153">
        <v>6</v>
      </c>
      <c r="B27" s="165"/>
      <c r="C27" s="166"/>
      <c r="D27" s="166" t="s">
        <v>301</v>
      </c>
      <c r="E27" s="166" t="s">
        <v>291</v>
      </c>
      <c r="F27" s="166" t="s">
        <v>293</v>
      </c>
      <c r="G27" s="167">
        <v>10.98</v>
      </c>
      <c r="H27" s="167"/>
      <c r="I27" s="167"/>
      <c r="J27" s="153" t="s">
        <v>291</v>
      </c>
      <c r="K27" s="153" t="s">
        <v>168</v>
      </c>
      <c r="L27" s="95">
        <f>VLOOKUP(K27,Reinigungstage!A10:P31,16,FALSE)</f>
        <v>1</v>
      </c>
      <c r="M27" s="95">
        <f t="shared" si="0"/>
        <v>10.98</v>
      </c>
      <c r="N27" s="168">
        <f t="shared" si="1"/>
        <v>0</v>
      </c>
      <c r="O27" s="95">
        <f ca="1">IF('SVS GrundRG'!H61="",0,'SVS GrundRG'!H61)</f>
        <v>0</v>
      </c>
      <c r="P27" s="95">
        <f t="shared" si="2"/>
        <v>0</v>
      </c>
      <c r="Q27" s="95">
        <f t="shared" si="3"/>
        <v>0</v>
      </c>
      <c r="R27" s="95">
        <f t="shared" si="4"/>
        <v>0</v>
      </c>
      <c r="S27" s="3" t="str">
        <f t="shared" si="5"/>
        <v>Leistungswert eintragen</v>
      </c>
      <c r="U27" s="3">
        <f t="shared" si="6"/>
        <v>15</v>
      </c>
      <c r="V27" s="3">
        <f t="shared" si="7"/>
        <v>4.5</v>
      </c>
      <c r="W27" s="3">
        <f t="shared" si="8"/>
        <v>19.5</v>
      </c>
      <c r="X27" s="3" t="str">
        <f t="shared" si="9"/>
        <v/>
      </c>
    </row>
    <row r="28" spans="1:24" ht="15" customHeight="1" x14ac:dyDescent="0.2">
      <c r="A28" s="153">
        <v>7</v>
      </c>
      <c r="B28" s="165"/>
      <c r="C28" s="166"/>
      <c r="D28" s="166" t="s">
        <v>301</v>
      </c>
      <c r="E28" s="166" t="s">
        <v>292</v>
      </c>
      <c r="F28" s="166" t="s">
        <v>293</v>
      </c>
      <c r="G28" s="167">
        <v>7.09</v>
      </c>
      <c r="H28" s="167"/>
      <c r="I28" s="167"/>
      <c r="J28" s="153" t="s">
        <v>314</v>
      </c>
      <c r="K28" s="153" t="s">
        <v>168</v>
      </c>
      <c r="L28" s="95">
        <f>VLOOKUP(K28,Reinigungstage!A10:P31,16,FALSE)</f>
        <v>1</v>
      </c>
      <c r="M28" s="95">
        <f t="shared" si="0"/>
        <v>7.09</v>
      </c>
      <c r="N28" s="168">
        <f t="shared" si="1"/>
        <v>0</v>
      </c>
      <c r="O28" s="95">
        <f ca="1">IF('SVS GrundRG'!H61="",0,'SVS GrundRG'!H61)</f>
        <v>0</v>
      </c>
      <c r="P28" s="95">
        <f t="shared" si="2"/>
        <v>0</v>
      </c>
      <c r="Q28" s="95">
        <f t="shared" si="3"/>
        <v>0</v>
      </c>
      <c r="R28" s="95">
        <f t="shared" si="4"/>
        <v>0</v>
      </c>
      <c r="S28" s="3" t="str">
        <f t="shared" si="5"/>
        <v>Leistungswert eintragen</v>
      </c>
      <c r="U28" s="3">
        <f t="shared" si="6"/>
        <v>10</v>
      </c>
      <c r="V28" s="3">
        <f t="shared" si="7"/>
        <v>3</v>
      </c>
      <c r="W28" s="3">
        <f t="shared" si="8"/>
        <v>13</v>
      </c>
      <c r="X28" s="3" t="str">
        <f t="shared" si="9"/>
        <v/>
      </c>
    </row>
    <row r="29" spans="1:24" ht="15" customHeight="1" x14ac:dyDescent="0.2">
      <c r="A29" s="153">
        <v>8</v>
      </c>
      <c r="B29" s="165"/>
      <c r="C29" s="166"/>
      <c r="D29" s="166"/>
      <c r="E29" s="166" t="s">
        <v>288</v>
      </c>
      <c r="F29" s="166" t="s">
        <v>293</v>
      </c>
      <c r="G29" s="167">
        <v>14.32</v>
      </c>
      <c r="H29" s="167"/>
      <c r="I29" s="167"/>
      <c r="J29" s="153" t="s">
        <v>313</v>
      </c>
      <c r="K29" s="153" t="s">
        <v>168</v>
      </c>
      <c r="L29" s="95">
        <f>VLOOKUP(K29,Reinigungstage!A10:P31,16,FALSE)</f>
        <v>1</v>
      </c>
      <c r="M29" s="95">
        <f t="shared" si="0"/>
        <v>14.32</v>
      </c>
      <c r="N29" s="168">
        <f t="shared" si="1"/>
        <v>0</v>
      </c>
      <c r="O29" s="95">
        <f ca="1">IF('SVS GrundRG'!H61="",0,'SVS GrundRG'!H61)</f>
        <v>0</v>
      </c>
      <c r="P29" s="95">
        <f t="shared" si="2"/>
        <v>0</v>
      </c>
      <c r="Q29" s="95">
        <f t="shared" si="3"/>
        <v>0</v>
      </c>
      <c r="R29" s="95">
        <f t="shared" si="4"/>
        <v>0</v>
      </c>
      <c r="S29" s="3" t="str">
        <f t="shared" si="5"/>
        <v>Leistungswert eintragen</v>
      </c>
      <c r="U29" s="3">
        <f t="shared" si="6"/>
        <v>24.5</v>
      </c>
      <c r="V29" s="3">
        <f t="shared" si="7"/>
        <v>7.35</v>
      </c>
      <c r="W29" s="3">
        <f t="shared" si="8"/>
        <v>31.85</v>
      </c>
      <c r="X29" s="3" t="str">
        <f t="shared" si="9"/>
        <v/>
      </c>
    </row>
    <row r="30" spans="1:24" ht="15" customHeight="1" x14ac:dyDescent="0.2">
      <c r="A30" s="153">
        <v>9</v>
      </c>
      <c r="B30" s="165"/>
      <c r="C30" s="166"/>
      <c r="D30" s="166"/>
      <c r="E30" s="166" t="s">
        <v>283</v>
      </c>
      <c r="F30" s="166" t="s">
        <v>293</v>
      </c>
      <c r="G30" s="167">
        <v>11.59</v>
      </c>
      <c r="H30" s="167"/>
      <c r="I30" s="167">
        <v>1</v>
      </c>
      <c r="J30" s="153" t="s">
        <v>313</v>
      </c>
      <c r="K30" s="153" t="s">
        <v>168</v>
      </c>
      <c r="L30" s="95">
        <f>VLOOKUP(K30,Reinigungstage!A10:P31,16,FALSE)</f>
        <v>1</v>
      </c>
      <c r="M30" s="95">
        <f t="shared" si="0"/>
        <v>11.59</v>
      </c>
      <c r="N30" s="168">
        <f t="shared" si="1"/>
        <v>0</v>
      </c>
      <c r="O30" s="95">
        <f ca="1">IF('SVS GrundRG'!H61="",0,'SVS GrundRG'!H61)</f>
        <v>0</v>
      </c>
      <c r="P30" s="95">
        <f t="shared" si="2"/>
        <v>0</v>
      </c>
      <c r="Q30" s="95">
        <f t="shared" si="3"/>
        <v>0</v>
      </c>
      <c r="R30" s="95">
        <f t="shared" si="4"/>
        <v>0</v>
      </c>
      <c r="S30" s="3" t="str">
        <f t="shared" si="5"/>
        <v>Leistungswert eintragen</v>
      </c>
      <c r="U30" s="3">
        <f t="shared" si="6"/>
        <v>24.5</v>
      </c>
      <c r="V30" s="3">
        <f t="shared" si="7"/>
        <v>7.35</v>
      </c>
      <c r="W30" s="3">
        <f t="shared" si="8"/>
        <v>31.85</v>
      </c>
      <c r="X30" s="3" t="str">
        <f t="shared" si="9"/>
        <v/>
      </c>
    </row>
    <row r="31" spans="1:24" ht="15" customHeight="1" x14ac:dyDescent="0.2">
      <c r="A31" s="153">
        <v>10</v>
      </c>
      <c r="B31" s="165"/>
      <c r="C31" s="166"/>
      <c r="D31" s="166"/>
      <c r="E31" s="166" t="s">
        <v>312</v>
      </c>
      <c r="F31" s="166" t="s">
        <v>293</v>
      </c>
      <c r="G31" s="167">
        <v>19.47</v>
      </c>
      <c r="H31" s="167"/>
      <c r="I31" s="167"/>
      <c r="J31" s="153" t="s">
        <v>312</v>
      </c>
      <c r="K31" s="153" t="s">
        <v>168</v>
      </c>
      <c r="L31" s="95">
        <f>VLOOKUP(K31,Reinigungstage!A10:P31,16,FALSE)</f>
        <v>1</v>
      </c>
      <c r="M31" s="95">
        <f t="shared" si="0"/>
        <v>19.47</v>
      </c>
      <c r="N31" s="168">
        <f t="shared" si="1"/>
        <v>0</v>
      </c>
      <c r="O31" s="95">
        <f ca="1">IF('SVS GrundRG'!H61="",0,'SVS GrundRG'!H61)</f>
        <v>0</v>
      </c>
      <c r="P31" s="95">
        <f t="shared" si="2"/>
        <v>0</v>
      </c>
      <c r="Q31" s="95">
        <f t="shared" si="3"/>
        <v>0</v>
      </c>
      <c r="R31" s="95">
        <f t="shared" si="4"/>
        <v>0</v>
      </c>
      <c r="S31" s="3" t="str">
        <f t="shared" si="5"/>
        <v>Leistungswert eintragen</v>
      </c>
      <c r="U31" s="3">
        <f t="shared" si="6"/>
        <v>21.5</v>
      </c>
      <c r="V31" s="3">
        <f t="shared" si="7"/>
        <v>6.45</v>
      </c>
      <c r="W31" s="3">
        <f t="shared" si="8"/>
        <v>27.95</v>
      </c>
      <c r="X31" s="3" t="str">
        <f t="shared" si="9"/>
        <v/>
      </c>
    </row>
    <row r="32" spans="1:24" ht="15" customHeight="1" x14ac:dyDescent="0.2">
      <c r="A32" s="153">
        <v>11</v>
      </c>
      <c r="B32" s="165"/>
      <c r="C32" s="166"/>
      <c r="D32" s="166"/>
      <c r="E32" s="166" t="s">
        <v>408</v>
      </c>
      <c r="F32" s="166" t="s">
        <v>293</v>
      </c>
      <c r="G32" s="167">
        <v>14.45</v>
      </c>
      <c r="H32" s="167"/>
      <c r="I32" s="167"/>
      <c r="J32" s="153" t="s">
        <v>315</v>
      </c>
      <c r="K32" s="153" t="s">
        <v>168</v>
      </c>
      <c r="L32" s="95">
        <f>VLOOKUP(K32,Reinigungstage!A10:P31,16,FALSE)</f>
        <v>1</v>
      </c>
      <c r="M32" s="95">
        <f t="shared" si="0"/>
        <v>14.45</v>
      </c>
      <c r="N32" s="168">
        <f t="shared" si="1"/>
        <v>0</v>
      </c>
      <c r="O32" s="95">
        <f ca="1">IF('SVS GrundRG'!H61="",0,'SVS GrundRG'!H61)</f>
        <v>0</v>
      </c>
      <c r="P32" s="95">
        <f t="shared" si="2"/>
        <v>0</v>
      </c>
      <c r="Q32" s="95">
        <f t="shared" si="3"/>
        <v>0</v>
      </c>
      <c r="R32" s="95">
        <f t="shared" si="4"/>
        <v>0</v>
      </c>
      <c r="S32" s="3" t="str">
        <f t="shared" si="5"/>
        <v>Leistungswert eintragen</v>
      </c>
      <c r="U32" s="3">
        <f t="shared" si="6"/>
        <v>17</v>
      </c>
      <c r="V32" s="3">
        <f t="shared" si="7"/>
        <v>5.0999999999999996</v>
      </c>
      <c r="W32" s="3">
        <f t="shared" si="8"/>
        <v>22.1</v>
      </c>
      <c r="X32" s="3" t="str">
        <f t="shared" si="9"/>
        <v/>
      </c>
    </row>
    <row r="33" spans="1:24" ht="15" customHeight="1" x14ac:dyDescent="0.2">
      <c r="A33" s="153">
        <v>12</v>
      </c>
      <c r="B33" s="165"/>
      <c r="C33" s="166"/>
      <c r="D33" s="166"/>
      <c r="E33" s="166" t="s">
        <v>402</v>
      </c>
      <c r="F33" s="166" t="s">
        <v>287</v>
      </c>
      <c r="G33" s="167">
        <v>16.7</v>
      </c>
      <c r="H33" s="167"/>
      <c r="I33" s="167"/>
      <c r="J33" s="153" t="s">
        <v>402</v>
      </c>
      <c r="K33" s="153" t="s">
        <v>168</v>
      </c>
      <c r="L33" s="95">
        <f>VLOOKUP(K33,Reinigungstage!A10:P31,16,FALSE)</f>
        <v>1</v>
      </c>
      <c r="M33" s="95">
        <f t="shared" si="0"/>
        <v>16.7</v>
      </c>
      <c r="N33" s="168">
        <f t="shared" si="1"/>
        <v>0</v>
      </c>
      <c r="O33" s="95">
        <f ca="1">IF('SVS GrundRG'!H61="",0,'SVS GrundRG'!H61)</f>
        <v>0</v>
      </c>
      <c r="P33" s="95">
        <f t="shared" si="2"/>
        <v>0</v>
      </c>
      <c r="Q33" s="95">
        <f t="shared" si="3"/>
        <v>0</v>
      </c>
      <c r="R33" s="95">
        <f t="shared" si="4"/>
        <v>0</v>
      </c>
      <c r="S33" s="3" t="str">
        <f t="shared" si="5"/>
        <v>Leistungswert eintragen</v>
      </c>
      <c r="U33" s="3">
        <f t="shared" si="6"/>
        <v>17.5</v>
      </c>
      <c r="V33" s="3">
        <f t="shared" si="7"/>
        <v>5.25</v>
      </c>
      <c r="W33" s="3">
        <f t="shared" si="8"/>
        <v>22.75</v>
      </c>
      <c r="X33" s="3" t="str">
        <f t="shared" si="9"/>
        <v/>
      </c>
    </row>
  </sheetData>
  <sheetProtection algorithmName="SHA-512" hashValue="UBQJCDre6qNcGMnxuEoCA1Zrb6a7unKIiUccupoV3Hr4UH+rqWELVrFgHuICZrYSCizHLI+ZYET6r7Hg6p7Yow==" saltValue="1utXWFKcMDJ16tNLFx3Vmg==" spinCount="100000" sheet="1" objects="1" scenarios="1"/>
  <sortState xmlns:xlrd2="http://schemas.microsoft.com/office/spreadsheetml/2017/richdata2" ref="U4:U9">
    <sortCondition ref="U4"/>
  </sortState>
  <mergeCells count="16">
    <mergeCell ref="B13:E13"/>
    <mergeCell ref="B4:E5"/>
    <mergeCell ref="B6:E6"/>
    <mergeCell ref="B7:E7"/>
    <mergeCell ref="B8:E8"/>
    <mergeCell ref="B9:E9"/>
    <mergeCell ref="B10:E10"/>
    <mergeCell ref="B11:E11"/>
    <mergeCell ref="B12:E12"/>
    <mergeCell ref="N2:Q5"/>
    <mergeCell ref="A4:A5"/>
    <mergeCell ref="A2:E2"/>
    <mergeCell ref="G2:G3"/>
    <mergeCell ref="H2:H3"/>
    <mergeCell ref="I2:I3"/>
    <mergeCell ref="J2:J3"/>
  </mergeCells>
  <conditionalFormatting sqref="L8">
    <cfRule type="containsText" dxfId="148" priority="6" operator="containsText" text="Ihre Eintragungen der Leistungswerte liegen weit über den Erfahrungswerten aus der Preisschätzung.">
      <formula>NOT(ISERROR(SEARCH("Ihre Eintragungen der Leistungswerte liegen weit über den Erfahrungswerten aus der Preisschätzung.",L8)))</formula>
    </cfRule>
  </conditionalFormatting>
  <conditionalFormatting sqref="L9">
    <cfRule type="containsText" dxfId="147" priority="5" operator="containsText" text="Bitte prüfen Sie diese.">
      <formula>NOT(ISERROR(SEARCH("Bitte prüfen Sie diese.",L9)))</formula>
    </cfRule>
  </conditionalFormatting>
  <conditionalFormatting sqref="L10">
    <cfRule type="containsText" dxfId="146" priority="4" operator="containsText" text="Beachten Sie, dass Sie frei in der Kalkulation dieser Leistungswerte sind und wir durch den Hinweis">
      <formula>NOT(ISERROR(SEARCH("Beachten Sie, dass Sie frei in der Kalkulation dieser Leistungswerte sind und wir durch den Hinweis",L10)))</formula>
    </cfRule>
  </conditionalFormatting>
  <conditionalFormatting sqref="L11">
    <cfRule type="containsText" dxfId="145" priority="3" operator="containsText" text="lediglich Fehleingaben vermeiden wollen.">
      <formula>NOT(ISERROR(SEARCH("lediglich Fehleingaben vermeiden wollen.",L11)))</formula>
    </cfRule>
  </conditionalFormatting>
  <conditionalFormatting sqref="M11">
    <cfRule type="containsText" dxfId="144" priority="7" operator="containsText" text="Es sind Leistungsrichtwerte (LRW) für jede Reinigungsgruppe festgelegt.">
      <formula>NOT(ISERROR(SEARCH("Es sind Leistungsrichtwerte (LRW) für jede Reinigungsgruppe festgelegt.",M11)))</formula>
    </cfRule>
  </conditionalFormatting>
  <conditionalFormatting sqref="N13">
    <cfRule type="expression" dxfId="143" priority="2" stopIfTrue="1">
      <formula>N13=0</formula>
    </cfRule>
  </conditionalFormatting>
  <conditionalFormatting sqref="N14">
    <cfRule type="expression" dxfId="142" priority="1">
      <formula>N14=0</formula>
    </cfRule>
  </conditionalFormatting>
  <conditionalFormatting sqref="N22:N33">
    <cfRule type="expression" dxfId="141" priority="10">
      <formula>X22=0</formula>
    </cfRule>
    <cfRule type="expression" dxfId="140" priority="11" stopIfTrue="1">
      <formula>X22=1</formula>
    </cfRule>
  </conditionalFormatting>
  <conditionalFormatting sqref="O13">
    <cfRule type="containsText" dxfId="139" priority="9" stopIfTrue="1" operator="containsText" text="Wert(e) überschritten, bitte mit dem Angebot plausibel darlegen.">
      <formula>NOT(ISERROR(SEARCH("Wert(e) überschritten, bitte mit dem Angebot plausibel darlegen.",O13)))</formula>
    </cfRule>
  </conditionalFormatting>
  <conditionalFormatting sqref="O14">
    <cfRule type="containsText" dxfId="138" priority="8" operator="containsText" text="Wert(e) prüfen.">
      <formula>NOT(ISERROR(SEARCH("Wert(e) prüfen.",O14)))</formula>
    </cfRule>
  </conditionalFormatting>
  <conditionalFormatting sqref="S22:S33">
    <cfRule type="containsText" dxfId="137" priority="12" stopIfTrue="1" operator="containsText" text="SVS prüfen">
      <formula>NOT(ISERROR(SEARCH("SVS prüfen",S22)))</formula>
    </cfRule>
    <cfRule type="containsText" dxfId="136" priority="13" stopIfTrue="1" operator="containsText" text="Leistungswert eintragen">
      <formula>NOT(ISERROR(SEARCH("Leistungswert eintragen",S22)))</formula>
    </cfRule>
  </conditionalFormatting>
  <hyperlinks>
    <hyperlink ref="M1" location="Inhaltsverzeichnis!A1" display="Zurück zum Inhaltsverzeichnis" xr:uid="{BF3F218B-8A76-4568-BC50-A2E5EDDE3B6E}"/>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&amp;RKal Grund Hallenbad&amp;LStadt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12</xdr:col>
                    <xdr:colOff>0</xdr:colOff>
                    <xdr:row>1</xdr:row>
                    <xdr:rowOff>0</xdr:rowOff>
                  </from>
                  <to>
                    <xdr:col>13</xdr:col>
                    <xdr:colOff>0</xdr:colOff>
                    <xdr:row>1</xdr:row>
                    <xdr:rowOff>228600</xdr:rowOff>
                  </to>
                </anchor>
              </controlPr>
            </control>
          </mc:Choice>
        </mc:AlternateContent>
        <mc:AlternateContent xmlns:mc="http://schemas.openxmlformats.org/markup-compatibility/2006">
          <mc:Choice Requires="x14">
            <control shapeId="103426" r:id="rId5" name="Check Box 2">
              <controlPr defaultSize="0" autoFill="0" autoLine="0" autoPict="0" altText="Hinweis 2">
                <anchor moveWithCells="1">
                  <from>
                    <xdr:col>12</xdr:col>
                    <xdr:colOff>0</xdr:colOff>
                    <xdr:row>1</xdr:row>
                    <xdr:rowOff>238125</xdr:rowOff>
                  </from>
                  <to>
                    <xdr:col>13</xdr:col>
                    <xdr:colOff>0</xdr:colOff>
                    <xdr:row>2</xdr:row>
                    <xdr:rowOff>209550</xdr:rowOff>
                  </to>
                </anchor>
              </controlPr>
            </control>
          </mc:Choice>
        </mc:AlternateContent>
        <mc:AlternateContent xmlns:mc="http://schemas.openxmlformats.org/markup-compatibility/2006">
          <mc:Choice Requires="x14">
            <control shapeId="103427" r:id="rId6" name="Check Box 3">
              <controlPr defaultSize="0" autoFill="0" autoLine="0" autoPict="0" altText="Hinweis 3">
                <anchor moveWithCells="1">
                  <from>
                    <xdr:col>12</xdr:col>
                    <xdr:colOff>0</xdr:colOff>
                    <xdr:row>2</xdr:row>
                    <xdr:rowOff>219075</xdr:rowOff>
                  </from>
                  <to>
                    <xdr:col>13</xdr:col>
                    <xdr:colOff>0</xdr:colOff>
                    <xdr:row>3</xdr:row>
                    <xdr:rowOff>142875</xdr:rowOff>
                  </to>
                </anchor>
              </controlPr>
            </control>
          </mc:Choice>
        </mc:AlternateContent>
        <mc:AlternateContent xmlns:mc="http://schemas.openxmlformats.org/markup-compatibility/2006">
          <mc:Choice Requires="x14">
            <control shapeId="103428" r:id="rId7" name="Check Box 4">
              <controlPr defaultSize="0" autoFill="0" autoLine="0" autoPict="0" altText="Hinweis 3">
                <anchor moveWithCells="1">
                  <from>
                    <xdr:col>12</xdr:col>
                    <xdr:colOff>0</xdr:colOff>
                    <xdr:row>3</xdr:row>
                    <xdr:rowOff>152400</xdr:rowOff>
                  </from>
                  <to>
                    <xdr:col>13</xdr:col>
                    <xdr:colOff>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69794-138A-4EA6-8DA5-04BC913D772D}">
  <sheetPr codeName="Tabelle33">
    <tabColor indexed="40"/>
  </sheetPr>
  <dimension ref="A1:U61"/>
  <sheetViews>
    <sheetView showGridLines="0" zoomScaleNormal="100" workbookViewId="0">
      <pane ySplit="21" topLeftCell="A22" activePane="bottomLeft" state="frozen"/>
      <selection pane="bottomLeft"/>
    </sheetView>
  </sheetViews>
  <sheetFormatPr baseColWidth="10" defaultColWidth="0" defaultRowHeight="15" customHeight="1" x14ac:dyDescent="0.2"/>
  <cols>
    <col min="1" max="1" width="11.7109375" style="3" customWidth="1"/>
    <col min="2" max="2" width="8.28515625" style="3" customWidth="1"/>
    <col min="3" max="3" width="5.7109375" style="3" customWidth="1"/>
    <col min="4" max="4" width="11" style="3" customWidth="1"/>
    <col min="5" max="5" width="21.7109375" style="3" customWidth="1"/>
    <col min="6" max="6" width="13.5703125" style="3" bestFit="1" customWidth="1"/>
    <col min="7" max="7" width="10.7109375" style="3" customWidth="1"/>
    <col min="8" max="8" width="9.7109375" style="3" customWidth="1"/>
    <col min="9" max="9" width="11.7109375" style="3" customWidth="1"/>
    <col min="10" max="10" width="10.5703125" style="3" bestFit="1" customWidth="1"/>
    <col min="11" max="11" width="7.85546875" style="3" customWidth="1"/>
    <col min="12" max="12" width="8.7109375" style="3" customWidth="1"/>
    <col min="13" max="13" width="12.140625" style="3" customWidth="1"/>
    <col min="14" max="14" width="9.42578125" style="3" customWidth="1"/>
    <col min="15" max="15" width="8.42578125" style="3" customWidth="1"/>
    <col min="16" max="17" width="11.42578125" style="3" customWidth="1"/>
    <col min="18" max="19" width="11.28515625" style="3" customWidth="1"/>
    <col min="20" max="20" width="22.28515625" style="3" customWidth="1"/>
    <col min="21" max="21" width="0" style="3" hidden="1" customWidth="1"/>
    <col min="22" max="16384" width="11.42578125" style="3" hidden="1"/>
  </cols>
  <sheetData>
    <row r="1" spans="1:21" ht="15" customHeight="1" x14ac:dyDescent="0.2">
      <c r="M1" s="5" t="s">
        <v>100</v>
      </c>
    </row>
    <row r="2" spans="1:21" ht="21" customHeight="1" x14ac:dyDescent="0.2">
      <c r="A2" s="217" t="s">
        <v>177</v>
      </c>
      <c r="B2" s="218"/>
      <c r="C2" s="218"/>
      <c r="D2" s="218" t="b">
        <v>0</v>
      </c>
      <c r="E2" s="219"/>
      <c r="G2" s="220" t="s">
        <v>190</v>
      </c>
      <c r="H2" s="220" t="s">
        <v>182</v>
      </c>
      <c r="I2" s="220" t="s">
        <v>183</v>
      </c>
      <c r="J2" s="220" t="s">
        <v>202</v>
      </c>
      <c r="M2" s="23" t="b">
        <v>0</v>
      </c>
      <c r="N2" s="192" t="str">
        <f>IF(M2=TRUE,"Bitte tragen Sie Ihre Leistungswerte in die gelben Zellen direkt unter der Zelle Leistungswerte (m²/h) ein. Die Leistungswerte werden automatisch in die untere Kalkulation übernommen. Die linke Tabelle ist lediglich eine Ausfüllhilfe.",IF(M3=TRUE,"Wenn eine Jahresreinigungsfläche für eine Reinigungsgruppe mit 0 angegeben ist, brauchen Sie den Leistungswert nicht auszufüllen. Es schadet aber nichts, wenn Sie es trotzdem tun.",IF(M4=TRUE,"Sie können in der Kalkulationstabelle (unten) in jedem einzelnen Raum die Leistungswerte (gelbe Zellen) beliebig oft individuell anpassen. Mit dem individuellen Überschreiben wird die Verknüpfung zu den Leistungswerten in der obigen Tabelle aufgehoben.",IF( M5=TRUE,"Die rot markierten Informationen sind auch lediglich eine Unterstützung. Sie erscheinen, wenn gelbe Zellen in dieser Tabelle oder in den Stundenverrechnungssätzen (SVS) nicht ausgefüllt sind. Wenn keine rote Schrift mehr da ist, ist alles vollständig.",""))))</f>
        <v/>
      </c>
      <c r="O2" s="192"/>
      <c r="P2" s="192"/>
      <c r="Q2" s="192"/>
    </row>
    <row r="3" spans="1:21" ht="21" customHeight="1" x14ac:dyDescent="0.2">
      <c r="A3" s="154" t="s">
        <v>178</v>
      </c>
      <c r="B3" s="155"/>
      <c r="C3" s="155"/>
      <c r="D3" s="155"/>
      <c r="E3" s="156"/>
      <c r="G3" s="221"/>
      <c r="H3" s="221" t="b">
        <v>0</v>
      </c>
      <c r="I3" s="221"/>
      <c r="J3" s="221"/>
      <c r="M3" s="23" t="b">
        <v>0</v>
      </c>
      <c r="N3" s="192"/>
      <c r="O3" s="192"/>
      <c r="P3" s="192"/>
      <c r="Q3" s="192"/>
    </row>
    <row r="4" spans="1:21" ht="15" customHeight="1" x14ac:dyDescent="0.2">
      <c r="A4" s="215" t="s">
        <v>91</v>
      </c>
      <c r="B4" s="225" t="str">
        <f>IF(Inhaltsverzeichnis!C3="","",Inhaltsverzeichnis!C3)</f>
        <v/>
      </c>
      <c r="C4" s="226"/>
      <c r="D4" s="226"/>
      <c r="E4" s="227"/>
      <c r="G4" s="153" t="s">
        <v>402</v>
      </c>
      <c r="H4" s="157"/>
      <c r="I4" s="158">
        <f ca="1">SUMIF('Kal Unter Lehrschwimmbad'!J22:M61,$G$4,'Kal Unter Lehrschwimmbad'!M22:M61)</f>
        <v>5551.42</v>
      </c>
      <c r="J4" s="118">
        <f>COUNTIFS('Kal Unter Lehrschwimmbad'!J22:M61,$G$4)</f>
        <v>2</v>
      </c>
      <c r="M4" s="23" t="b">
        <v>0</v>
      </c>
      <c r="N4" s="192"/>
      <c r="O4" s="192"/>
      <c r="P4" s="192"/>
      <c r="Q4" s="192"/>
      <c r="U4" s="153" t="s">
        <v>402</v>
      </c>
    </row>
    <row r="5" spans="1:21" ht="15" customHeight="1" x14ac:dyDescent="0.2">
      <c r="A5" s="216"/>
      <c r="B5" s="228"/>
      <c r="C5" s="229"/>
      <c r="D5" s="229"/>
      <c r="E5" s="230"/>
      <c r="G5" s="153" t="s">
        <v>314</v>
      </c>
      <c r="H5" s="157"/>
      <c r="I5" s="158">
        <f ca="1">SUMIF('Kal Unter Lehrschwimmbad'!J22:M61,$G$5,'Kal Unter Lehrschwimmbad'!M22:M61)</f>
        <v>95520.62</v>
      </c>
      <c r="J5" s="118">
        <f>COUNTIFS('Kal Unter Lehrschwimmbad'!J22:M61,$G$5)</f>
        <v>10</v>
      </c>
      <c r="M5" s="23" t="b">
        <v>0</v>
      </c>
      <c r="N5" s="192"/>
      <c r="O5" s="192"/>
      <c r="P5" s="192"/>
      <c r="Q5" s="192"/>
      <c r="U5" s="153" t="s">
        <v>314</v>
      </c>
    </row>
    <row r="6" spans="1:21" ht="15" customHeight="1" x14ac:dyDescent="0.2">
      <c r="A6" s="159" t="s">
        <v>200</v>
      </c>
      <c r="B6" s="231" t="s">
        <v>245</v>
      </c>
      <c r="C6" s="232"/>
      <c r="D6" s="232"/>
      <c r="E6" s="233"/>
      <c r="G6" s="153" t="s">
        <v>312</v>
      </c>
      <c r="H6" s="157"/>
      <c r="I6" s="158">
        <f ca="1">SUMIF('Kal Unter Lehrschwimmbad'!J22:M61,$G$6,'Kal Unter Lehrschwimmbad'!M22:M61)</f>
        <v>2.36</v>
      </c>
      <c r="J6" s="118">
        <f>COUNTIFS('Kal Unter Lehrschwimmbad'!J22:M61,$G$6)</f>
        <v>15</v>
      </c>
      <c r="U6" s="153" t="s">
        <v>312</v>
      </c>
    </row>
    <row r="7" spans="1:21" ht="15" customHeight="1" x14ac:dyDescent="0.2">
      <c r="A7" s="160" t="s">
        <v>198</v>
      </c>
      <c r="B7" s="234" t="s">
        <v>254</v>
      </c>
      <c r="C7" s="232"/>
      <c r="D7" s="232"/>
      <c r="E7" s="233"/>
      <c r="G7" s="153" t="s">
        <v>310</v>
      </c>
      <c r="H7" s="157"/>
      <c r="I7" s="158">
        <f ca="1">SUMIF('Kal Unter Lehrschwimmbad'!J22:M61,$G$7,'Kal Unter Lehrschwimmbad'!M22:M61)</f>
        <v>6616.98</v>
      </c>
      <c r="J7" s="118">
        <f>COUNTIFS('Kal Unter Lehrschwimmbad'!J22:M61,$G$7)</f>
        <v>2</v>
      </c>
      <c r="U7" s="153" t="s">
        <v>310</v>
      </c>
    </row>
    <row r="8" spans="1:21" ht="15" customHeight="1" x14ac:dyDescent="0.2">
      <c r="A8" s="160" t="s">
        <v>199</v>
      </c>
      <c r="B8" s="231"/>
      <c r="C8" s="232"/>
      <c r="D8" s="232"/>
      <c r="E8" s="233"/>
      <c r="G8" s="153" t="s">
        <v>291</v>
      </c>
      <c r="H8" s="157"/>
      <c r="I8" s="158">
        <f ca="1">SUMIF('Kal Unter Lehrschwimmbad'!J22:M61,$G$8,'Kal Unter Lehrschwimmbad'!M22:M61)</f>
        <v>32038.649999999994</v>
      </c>
      <c r="J8" s="118">
        <f>COUNTIFS('Kal Unter Lehrschwimmbad'!J22:M61,$G$8)</f>
        <v>6</v>
      </c>
      <c r="U8" s="153" t="s">
        <v>291</v>
      </c>
    </row>
    <row r="9" spans="1:21" ht="15" customHeight="1" x14ac:dyDescent="0.2">
      <c r="A9" s="159" t="s">
        <v>197</v>
      </c>
      <c r="B9" s="235" t="s">
        <v>254</v>
      </c>
      <c r="C9" s="232"/>
      <c r="D9" s="232"/>
      <c r="E9" s="233"/>
      <c r="G9" s="153" t="s">
        <v>313</v>
      </c>
      <c r="H9" s="157"/>
      <c r="I9" s="158">
        <f ca="1">SUMIF('Kal Unter Lehrschwimmbad'!J22:M61,$G$9,'Kal Unter Lehrschwimmbad'!M22:M61)</f>
        <v>31529.46</v>
      </c>
      <c r="J9" s="118">
        <f>COUNTIFS('Kal Unter Lehrschwimmbad'!J22:M61,$G$9)</f>
        <v>5</v>
      </c>
      <c r="U9" s="153" t="s">
        <v>313</v>
      </c>
    </row>
    <row r="10" spans="1:21" ht="15" customHeight="1" x14ac:dyDescent="0.2">
      <c r="A10" s="160" t="s">
        <v>179</v>
      </c>
      <c r="B10" s="231" t="s">
        <v>255</v>
      </c>
      <c r="C10" s="232"/>
      <c r="D10" s="232"/>
      <c r="E10" s="233"/>
    </row>
    <row r="11" spans="1:21" ht="15" customHeight="1" x14ac:dyDescent="0.2">
      <c r="A11" s="160" t="s">
        <v>180</v>
      </c>
      <c r="B11" s="236" t="s">
        <v>248</v>
      </c>
      <c r="C11" s="232"/>
      <c r="D11" s="232"/>
      <c r="E11" s="233"/>
    </row>
    <row r="12" spans="1:21" ht="15" customHeight="1" x14ac:dyDescent="0.2">
      <c r="A12" s="160" t="s">
        <v>181</v>
      </c>
      <c r="B12" s="231" t="s">
        <v>249</v>
      </c>
      <c r="C12" s="232"/>
      <c r="D12" s="232"/>
      <c r="E12" s="233"/>
    </row>
    <row r="13" spans="1:21" ht="15" customHeight="1" x14ac:dyDescent="0.2">
      <c r="A13" s="160" t="s">
        <v>184</v>
      </c>
      <c r="B13" s="222" t="str">
        <f>HYPERLINK("http://maps.google.de/maps?hl=de&amp;bav=on.2,or.r_qf.&amp;bvm=bv.44770516,d.Yms&amp;biw=1395&amp;bih=916&amp;um=1&amp;ie=UTF-8&amp;q="&amp;B7&amp;"+"&amp;B8&amp;"+"&amp;B10&amp;"+"&amp;B11&amp;"+"&amp;B12&amp;"","In Google-Maps anzeigen (wenn Internet verfügbar)")</f>
        <v>In Google-Maps anzeigen (wenn Internet verfügbar)</v>
      </c>
      <c r="C13" s="223"/>
      <c r="D13" s="223"/>
      <c r="E13" s="224"/>
    </row>
    <row r="14" spans="1:21" ht="15" customHeight="1" x14ac:dyDescent="0.2">
      <c r="T14" s="161">
        <f>IF(COUNTA($T$22:$T$61)-COUNTBLANK($T$22:$T$61)=0,"",COUNTA($T$22:$T$61)-COUNTBLANK($T$22:$T$61))</f>
        <v>25</v>
      </c>
    </row>
    <row r="15" spans="1:21" ht="15" hidden="1" customHeight="1" x14ac:dyDescent="0.2"/>
    <row r="16" spans="1:21" ht="15" hidden="1" customHeight="1" x14ac:dyDescent="0.2"/>
    <row r="17" spans="1:21" ht="15" hidden="1" customHeight="1" x14ac:dyDescent="0.2"/>
    <row r="18" spans="1:21" ht="15" hidden="1" customHeight="1" x14ac:dyDescent="0.2"/>
    <row r="19" spans="1:21" ht="15" hidden="1" customHeight="1" x14ac:dyDescent="0.2"/>
    <row r="20" spans="1:21" ht="45" customHeight="1" x14ac:dyDescent="0.2">
      <c r="A20" s="1" t="s">
        <v>92</v>
      </c>
      <c r="B20" s="1" t="s">
        <v>97</v>
      </c>
      <c r="C20" s="1" t="s">
        <v>93</v>
      </c>
      <c r="D20" s="1" t="s">
        <v>94</v>
      </c>
      <c r="E20" s="1" t="s">
        <v>98</v>
      </c>
      <c r="F20" s="1" t="s">
        <v>95</v>
      </c>
      <c r="G20" s="1" t="s">
        <v>121</v>
      </c>
      <c r="H20" s="1" t="s">
        <v>108</v>
      </c>
      <c r="I20" s="1" t="s">
        <v>109</v>
      </c>
      <c r="J20" s="1" t="s">
        <v>99</v>
      </c>
      <c r="K20" s="1" t="s">
        <v>106</v>
      </c>
      <c r="L20" s="1" t="s">
        <v>141</v>
      </c>
      <c r="M20" s="1" t="s">
        <v>111</v>
      </c>
      <c r="N20" s="1" t="s">
        <v>107</v>
      </c>
      <c r="O20" s="1" t="s">
        <v>112</v>
      </c>
      <c r="P20" s="1" t="s">
        <v>113</v>
      </c>
      <c r="Q20" s="1" t="s">
        <v>114</v>
      </c>
      <c r="R20" s="1" t="s">
        <v>201</v>
      </c>
      <c r="S20" s="1" t="s">
        <v>140</v>
      </c>
    </row>
    <row r="21" spans="1:21" ht="29.1" customHeight="1" x14ac:dyDescent="0.2">
      <c r="A21" s="162" t="s">
        <v>125</v>
      </c>
      <c r="B21" s="14"/>
      <c r="C21" s="14"/>
      <c r="D21" s="14"/>
      <c r="E21" s="14"/>
      <c r="F21" s="14"/>
      <c r="G21" s="163">
        <f>SUM($G$22:$G$61)</f>
        <v>1224.0800000000002</v>
      </c>
      <c r="H21" s="163">
        <f>SUM($H$22:$H$61)</f>
        <v>0</v>
      </c>
      <c r="I21" s="163">
        <f>SUM($I$22:$I$61)</f>
        <v>0</v>
      </c>
      <c r="J21" s="95"/>
      <c r="K21" s="95"/>
      <c r="L21" s="164">
        <f>MAX(L22:L61)</f>
        <v>253.33</v>
      </c>
      <c r="M21" s="163">
        <f>SUM($M$22:$M$61)</f>
        <v>171259.49</v>
      </c>
      <c r="N21" s="95"/>
      <c r="O21" s="95"/>
      <c r="P21" s="163">
        <f>SUM($P$22:$P$61)</f>
        <v>0</v>
      </c>
      <c r="Q21" s="163">
        <f ca="1">SUM($Q$22:$Q$61)</f>
        <v>0</v>
      </c>
      <c r="R21" s="163">
        <f>ROUND(IF(L21=0,0,P21/L21),2)</f>
        <v>0</v>
      </c>
      <c r="S21" s="163">
        <f ca="1">ROUND(IF(L21=0,0,Q21/L21),2)</f>
        <v>0</v>
      </c>
    </row>
    <row r="22" spans="1:21" ht="15" customHeight="1" x14ac:dyDescent="0.2">
      <c r="A22" s="153">
        <v>1</v>
      </c>
      <c r="B22" s="165" t="s">
        <v>409</v>
      </c>
      <c r="C22" s="166" t="s">
        <v>276</v>
      </c>
      <c r="D22" s="166"/>
      <c r="E22" s="166" t="s">
        <v>410</v>
      </c>
      <c r="F22" s="166" t="s">
        <v>293</v>
      </c>
      <c r="G22" s="167">
        <v>8.51</v>
      </c>
      <c r="H22" s="167"/>
      <c r="I22" s="167"/>
      <c r="J22" s="153" t="s">
        <v>313</v>
      </c>
      <c r="K22" s="167">
        <v>5</v>
      </c>
      <c r="L22" s="95">
        <f>VLOOKUP(K22,Reinigungstage!A10:E31,5,FALSE)</f>
        <v>253.33</v>
      </c>
      <c r="M22" s="95">
        <f t="shared" ref="M22:M61" si="0">ROUND(IF(L22=0,0,L22*G22),2)</f>
        <v>2155.84</v>
      </c>
      <c r="N22" s="168">
        <f t="shared" ref="N22:N61" si="1">VLOOKUP(J22,$G$4:$H$9,2,FALSE)</f>
        <v>0</v>
      </c>
      <c r="O22" s="95">
        <f ca="1">IF('SVS UnterhaltsRG'!H61="",0,'SVS UnterhaltsRG'!H61)</f>
        <v>0</v>
      </c>
      <c r="P22" s="95">
        <f t="shared" ref="P22:P61" si="2">ROUND(IF(N22=0,0,M22/N22),2)</f>
        <v>0</v>
      </c>
      <c r="Q22" s="95">
        <f t="shared" ref="Q22:Q61" ca="1" si="3">IF(M22=0,0,IF(O22="",0,ROUND(P22*O22,2)))</f>
        <v>0</v>
      </c>
      <c r="R22" s="95">
        <f t="shared" ref="R22:R61" si="4">ROUND(IF(P22=0,0,P22/L22),2)</f>
        <v>0</v>
      </c>
      <c r="S22" s="95">
        <f t="shared" ref="S22:S61" ca="1" si="5">ROUND(IF(Q22=0,0,Q22/L22),2)</f>
        <v>0</v>
      </c>
      <c r="T22" s="3" t="str">
        <f t="shared" ref="T22:T61" si="6">IF(M22=0,"",IF(N22=0,"Leistungswert eintragen",IF(O22=0,"SVS prüfen","")))</f>
        <v>Leistungswert eintragen</v>
      </c>
      <c r="U22" s="3">
        <f t="shared" ref="U22:U61" si="7">VLOOKUP(J22,$U$4:$V$9,2,FALSE)</f>
        <v>0</v>
      </c>
    </row>
    <row r="23" spans="1:21" ht="15" customHeight="1" x14ac:dyDescent="0.2">
      <c r="A23" s="153">
        <v>2</v>
      </c>
      <c r="B23" s="165" t="s">
        <v>411</v>
      </c>
      <c r="C23" s="166" t="s">
        <v>276</v>
      </c>
      <c r="D23" s="166"/>
      <c r="E23" s="166" t="s">
        <v>412</v>
      </c>
      <c r="F23" s="166" t="s">
        <v>293</v>
      </c>
      <c r="G23" s="167">
        <v>91.37</v>
      </c>
      <c r="H23" s="167"/>
      <c r="I23" s="167"/>
      <c r="J23" s="153" t="s">
        <v>313</v>
      </c>
      <c r="K23" s="167">
        <v>5</v>
      </c>
      <c r="L23" s="95">
        <f>VLOOKUP(K23,Reinigungstage!A10:E31,5,FALSE)</f>
        <v>253.33</v>
      </c>
      <c r="M23" s="95">
        <f t="shared" si="0"/>
        <v>23146.76</v>
      </c>
      <c r="N23" s="168">
        <f t="shared" si="1"/>
        <v>0</v>
      </c>
      <c r="O23" s="95">
        <f ca="1">IF('SVS UnterhaltsRG'!H61="",0,'SVS UnterhaltsRG'!H61)</f>
        <v>0</v>
      </c>
      <c r="P23" s="95">
        <f t="shared" si="2"/>
        <v>0</v>
      </c>
      <c r="Q23" s="95">
        <f t="shared" ca="1" si="3"/>
        <v>0</v>
      </c>
      <c r="R23" s="95">
        <f t="shared" si="4"/>
        <v>0</v>
      </c>
      <c r="S23" s="95">
        <f t="shared" ca="1" si="5"/>
        <v>0</v>
      </c>
      <c r="T23" s="3" t="str">
        <f t="shared" si="6"/>
        <v>Leistungswert eintragen</v>
      </c>
      <c r="U23" s="3">
        <f t="shared" si="7"/>
        <v>0</v>
      </c>
    </row>
    <row r="24" spans="1:21" ht="15" customHeight="1" x14ac:dyDescent="0.2">
      <c r="A24" s="153">
        <v>3</v>
      </c>
      <c r="B24" s="165" t="s">
        <v>413</v>
      </c>
      <c r="C24" s="166" t="s">
        <v>276</v>
      </c>
      <c r="D24" s="166"/>
      <c r="E24" s="166" t="s">
        <v>414</v>
      </c>
      <c r="F24" s="166" t="s">
        <v>287</v>
      </c>
      <c r="G24" s="167">
        <v>12.41</v>
      </c>
      <c r="H24" s="167"/>
      <c r="I24" s="167"/>
      <c r="J24" s="153" t="s">
        <v>402</v>
      </c>
      <c r="K24" s="167">
        <v>2</v>
      </c>
      <c r="L24" s="95">
        <f>VLOOKUP(K24,Reinigungstage!A10:E31,5,FALSE)</f>
        <v>105.26</v>
      </c>
      <c r="M24" s="95">
        <f t="shared" si="0"/>
        <v>1306.28</v>
      </c>
      <c r="N24" s="168">
        <f t="shared" si="1"/>
        <v>0</v>
      </c>
      <c r="O24" s="95">
        <f ca="1">IF('SVS UnterhaltsRG'!H61="",0,'SVS UnterhaltsRG'!H61)</f>
        <v>0</v>
      </c>
      <c r="P24" s="95">
        <f t="shared" si="2"/>
        <v>0</v>
      </c>
      <c r="Q24" s="95">
        <f t="shared" ca="1" si="3"/>
        <v>0</v>
      </c>
      <c r="R24" s="95">
        <f t="shared" si="4"/>
        <v>0</v>
      </c>
      <c r="S24" s="95">
        <f t="shared" ca="1" si="5"/>
        <v>0</v>
      </c>
      <c r="T24" s="3" t="str">
        <f t="shared" si="6"/>
        <v>Leistungswert eintragen</v>
      </c>
      <c r="U24" s="3">
        <f t="shared" si="7"/>
        <v>0</v>
      </c>
    </row>
    <row r="25" spans="1:21" ht="15" customHeight="1" x14ac:dyDescent="0.2">
      <c r="A25" s="153">
        <v>4</v>
      </c>
      <c r="B25" s="165" t="s">
        <v>411</v>
      </c>
      <c r="C25" s="166" t="s">
        <v>276</v>
      </c>
      <c r="D25" s="166"/>
      <c r="E25" s="166" t="s">
        <v>415</v>
      </c>
      <c r="F25" s="166" t="s">
        <v>287</v>
      </c>
      <c r="G25" s="167">
        <v>40.33</v>
      </c>
      <c r="H25" s="167"/>
      <c r="I25" s="167"/>
      <c r="J25" s="153" t="s">
        <v>402</v>
      </c>
      <c r="K25" s="167">
        <v>2</v>
      </c>
      <c r="L25" s="95">
        <f>VLOOKUP(K25,Reinigungstage!A10:E31,5,FALSE)</f>
        <v>105.26</v>
      </c>
      <c r="M25" s="95">
        <f t="shared" si="0"/>
        <v>4245.1400000000003</v>
      </c>
      <c r="N25" s="168">
        <f t="shared" si="1"/>
        <v>0</v>
      </c>
      <c r="O25" s="95">
        <f ca="1">IF('SVS UnterhaltsRG'!H61="",0,'SVS UnterhaltsRG'!H61)</f>
        <v>0</v>
      </c>
      <c r="P25" s="95">
        <f t="shared" si="2"/>
        <v>0</v>
      </c>
      <c r="Q25" s="95">
        <f t="shared" ca="1" si="3"/>
        <v>0</v>
      </c>
      <c r="R25" s="95">
        <f t="shared" si="4"/>
        <v>0</v>
      </c>
      <c r="S25" s="95">
        <f t="shared" ca="1" si="5"/>
        <v>0</v>
      </c>
      <c r="T25" s="3" t="str">
        <f t="shared" si="6"/>
        <v>Leistungswert eintragen</v>
      </c>
      <c r="U25" s="3">
        <f t="shared" si="7"/>
        <v>0</v>
      </c>
    </row>
    <row r="26" spans="1:21" ht="15" customHeight="1" x14ac:dyDescent="0.2">
      <c r="A26" s="153">
        <v>5</v>
      </c>
      <c r="B26" s="165" t="s">
        <v>416</v>
      </c>
      <c r="C26" s="166" t="s">
        <v>276</v>
      </c>
      <c r="D26" s="166" t="s">
        <v>417</v>
      </c>
      <c r="E26" s="166" t="s">
        <v>291</v>
      </c>
      <c r="F26" s="166" t="s">
        <v>287</v>
      </c>
      <c r="G26" s="167">
        <v>6.48</v>
      </c>
      <c r="H26" s="167"/>
      <c r="I26" s="167"/>
      <c r="J26" s="153" t="s">
        <v>291</v>
      </c>
      <c r="K26" s="167">
        <v>5</v>
      </c>
      <c r="L26" s="95">
        <f>VLOOKUP(K26,Reinigungstage!A10:E31,5,FALSE)</f>
        <v>253.33</v>
      </c>
      <c r="M26" s="95">
        <f t="shared" si="0"/>
        <v>1641.58</v>
      </c>
      <c r="N26" s="168">
        <f t="shared" si="1"/>
        <v>0</v>
      </c>
      <c r="O26" s="95">
        <f ca="1">IF('SVS UnterhaltsRG'!H61="",0,'SVS UnterhaltsRG'!H61)</f>
        <v>0</v>
      </c>
      <c r="P26" s="95">
        <f t="shared" si="2"/>
        <v>0</v>
      </c>
      <c r="Q26" s="95">
        <f t="shared" ca="1" si="3"/>
        <v>0</v>
      </c>
      <c r="R26" s="95">
        <f t="shared" si="4"/>
        <v>0</v>
      </c>
      <c r="S26" s="95">
        <f t="shared" ca="1" si="5"/>
        <v>0</v>
      </c>
      <c r="T26" s="3" t="str">
        <f t="shared" si="6"/>
        <v>Leistungswert eintragen</v>
      </c>
      <c r="U26" s="3">
        <f t="shared" si="7"/>
        <v>0</v>
      </c>
    </row>
    <row r="27" spans="1:21" ht="15" customHeight="1" x14ac:dyDescent="0.2">
      <c r="A27" s="153">
        <v>6</v>
      </c>
      <c r="B27" s="165" t="s">
        <v>418</v>
      </c>
      <c r="C27" s="166" t="s">
        <v>276</v>
      </c>
      <c r="D27" s="166" t="s">
        <v>417</v>
      </c>
      <c r="E27" s="166" t="s">
        <v>292</v>
      </c>
      <c r="F27" s="166" t="s">
        <v>293</v>
      </c>
      <c r="G27" s="167">
        <v>8.18</v>
      </c>
      <c r="H27" s="167"/>
      <c r="I27" s="167"/>
      <c r="J27" s="153" t="s">
        <v>314</v>
      </c>
      <c r="K27" s="167">
        <v>5</v>
      </c>
      <c r="L27" s="95">
        <f>VLOOKUP(K27,Reinigungstage!A10:E31,5,FALSE)</f>
        <v>253.33</v>
      </c>
      <c r="M27" s="95">
        <f t="shared" si="0"/>
        <v>2072.2399999999998</v>
      </c>
      <c r="N27" s="168">
        <f t="shared" si="1"/>
        <v>0</v>
      </c>
      <c r="O27" s="95">
        <f ca="1">IF('SVS UnterhaltsRG'!H61="",0,'SVS UnterhaltsRG'!H61)</f>
        <v>0</v>
      </c>
      <c r="P27" s="95">
        <f t="shared" si="2"/>
        <v>0</v>
      </c>
      <c r="Q27" s="95">
        <f t="shared" ca="1" si="3"/>
        <v>0</v>
      </c>
      <c r="R27" s="95">
        <f t="shared" si="4"/>
        <v>0</v>
      </c>
      <c r="S27" s="95">
        <f t="shared" ca="1" si="5"/>
        <v>0</v>
      </c>
      <c r="T27" s="3" t="str">
        <f t="shared" si="6"/>
        <v>Leistungswert eintragen</v>
      </c>
      <c r="U27" s="3">
        <f t="shared" si="7"/>
        <v>0</v>
      </c>
    </row>
    <row r="28" spans="1:21" ht="24.95" customHeight="1" x14ac:dyDescent="0.2">
      <c r="A28" s="153">
        <v>7</v>
      </c>
      <c r="B28" s="165" t="s">
        <v>419</v>
      </c>
      <c r="C28" s="166" t="s">
        <v>276</v>
      </c>
      <c r="D28" s="166" t="s">
        <v>296</v>
      </c>
      <c r="E28" s="166" t="s">
        <v>288</v>
      </c>
      <c r="F28" s="166" t="s">
        <v>293</v>
      </c>
      <c r="G28" s="167">
        <v>16.3</v>
      </c>
      <c r="H28" s="167"/>
      <c r="I28" s="167"/>
      <c r="J28" s="153" t="s">
        <v>314</v>
      </c>
      <c r="K28" s="167">
        <v>5</v>
      </c>
      <c r="L28" s="95">
        <f>VLOOKUP(K28,Reinigungstage!A10:E31,5,FALSE)</f>
        <v>253.33</v>
      </c>
      <c r="M28" s="95">
        <f t="shared" si="0"/>
        <v>4129.28</v>
      </c>
      <c r="N28" s="168">
        <f t="shared" si="1"/>
        <v>0</v>
      </c>
      <c r="O28" s="95">
        <f ca="1">IF('SVS UnterhaltsRG'!H61="",0,'SVS UnterhaltsRG'!H61)</f>
        <v>0</v>
      </c>
      <c r="P28" s="95">
        <f t="shared" si="2"/>
        <v>0</v>
      </c>
      <c r="Q28" s="95">
        <f t="shared" ca="1" si="3"/>
        <v>0</v>
      </c>
      <c r="R28" s="95">
        <f t="shared" si="4"/>
        <v>0</v>
      </c>
      <c r="S28" s="95">
        <f t="shared" ca="1" si="5"/>
        <v>0</v>
      </c>
      <c r="T28" s="3" t="str">
        <f t="shared" si="6"/>
        <v>Leistungswert eintragen</v>
      </c>
      <c r="U28" s="3">
        <f t="shared" si="7"/>
        <v>0</v>
      </c>
    </row>
    <row r="29" spans="1:21" ht="15" customHeight="1" x14ac:dyDescent="0.2">
      <c r="A29" s="153">
        <v>8</v>
      </c>
      <c r="B29" s="165" t="s">
        <v>420</v>
      </c>
      <c r="C29" s="166" t="s">
        <v>276</v>
      </c>
      <c r="D29" s="166" t="s">
        <v>421</v>
      </c>
      <c r="E29" s="166" t="s">
        <v>291</v>
      </c>
      <c r="F29" s="166" t="s">
        <v>293</v>
      </c>
      <c r="G29" s="167">
        <v>16.45</v>
      </c>
      <c r="H29" s="167"/>
      <c r="I29" s="167"/>
      <c r="J29" s="153" t="s">
        <v>291</v>
      </c>
      <c r="K29" s="167">
        <v>5</v>
      </c>
      <c r="L29" s="95">
        <f>VLOOKUP(K29,Reinigungstage!A10:E31,5,FALSE)</f>
        <v>253.33</v>
      </c>
      <c r="M29" s="95">
        <f t="shared" si="0"/>
        <v>4167.28</v>
      </c>
      <c r="N29" s="168">
        <f t="shared" si="1"/>
        <v>0</v>
      </c>
      <c r="O29" s="95">
        <f ca="1">IF('SVS UnterhaltsRG'!H61="",0,'SVS UnterhaltsRG'!H61)</f>
        <v>0</v>
      </c>
      <c r="P29" s="95">
        <f t="shared" si="2"/>
        <v>0</v>
      </c>
      <c r="Q29" s="95">
        <f t="shared" ca="1" si="3"/>
        <v>0</v>
      </c>
      <c r="R29" s="95">
        <f t="shared" si="4"/>
        <v>0</v>
      </c>
      <c r="S29" s="95">
        <f t="shared" ca="1" si="5"/>
        <v>0</v>
      </c>
      <c r="T29" s="3" t="str">
        <f t="shared" si="6"/>
        <v>Leistungswert eintragen</v>
      </c>
      <c r="U29" s="3">
        <f t="shared" si="7"/>
        <v>0</v>
      </c>
    </row>
    <row r="30" spans="1:21" ht="15" customHeight="1" x14ac:dyDescent="0.2">
      <c r="A30" s="153">
        <v>9</v>
      </c>
      <c r="B30" s="165" t="s">
        <v>422</v>
      </c>
      <c r="C30" s="166" t="s">
        <v>276</v>
      </c>
      <c r="D30" s="166"/>
      <c r="E30" s="166" t="s">
        <v>285</v>
      </c>
      <c r="F30" s="166" t="s">
        <v>285</v>
      </c>
      <c r="G30" s="167">
        <v>0</v>
      </c>
      <c r="H30" s="167"/>
      <c r="I30" s="167"/>
      <c r="J30" s="153" t="s">
        <v>312</v>
      </c>
      <c r="K30" s="167">
        <v>0</v>
      </c>
      <c r="L30" s="95">
        <f>VLOOKUP(K30,Reinigungstage!A10:E31,5,FALSE)</f>
        <v>0</v>
      </c>
      <c r="M30" s="95">
        <f t="shared" si="0"/>
        <v>0</v>
      </c>
      <c r="N30" s="168">
        <f t="shared" si="1"/>
        <v>0</v>
      </c>
      <c r="O30" s="95">
        <f ca="1">IF('SVS UnterhaltsRG'!H61="",0,'SVS UnterhaltsRG'!H61)</f>
        <v>0</v>
      </c>
      <c r="P30" s="95">
        <f t="shared" si="2"/>
        <v>0</v>
      </c>
      <c r="Q30" s="95">
        <f t="shared" si="3"/>
        <v>0</v>
      </c>
      <c r="R30" s="95">
        <f t="shared" si="4"/>
        <v>0</v>
      </c>
      <c r="S30" s="95">
        <f t="shared" si="5"/>
        <v>0</v>
      </c>
      <c r="T30" s="3" t="str">
        <f t="shared" si="6"/>
        <v/>
      </c>
      <c r="U30" s="3">
        <f t="shared" si="7"/>
        <v>0</v>
      </c>
    </row>
    <row r="31" spans="1:21" ht="15" customHeight="1" x14ac:dyDescent="0.2">
      <c r="A31" s="153">
        <v>10</v>
      </c>
      <c r="B31" s="165" t="s">
        <v>423</v>
      </c>
      <c r="C31" s="166" t="s">
        <v>276</v>
      </c>
      <c r="D31" s="166"/>
      <c r="E31" s="166" t="s">
        <v>424</v>
      </c>
      <c r="F31" s="166" t="s">
        <v>293</v>
      </c>
      <c r="G31" s="167">
        <v>5.1100000000000003</v>
      </c>
      <c r="H31" s="167"/>
      <c r="I31" s="167"/>
      <c r="J31" s="153" t="s">
        <v>314</v>
      </c>
      <c r="K31" s="167">
        <v>5</v>
      </c>
      <c r="L31" s="95">
        <f>VLOOKUP(K31,Reinigungstage!A10:E31,5,FALSE)</f>
        <v>253.33</v>
      </c>
      <c r="M31" s="95">
        <f t="shared" si="0"/>
        <v>1294.52</v>
      </c>
      <c r="N31" s="168">
        <f t="shared" si="1"/>
        <v>0</v>
      </c>
      <c r="O31" s="95">
        <f ca="1">IF('SVS UnterhaltsRG'!H61="",0,'SVS UnterhaltsRG'!H61)</f>
        <v>0</v>
      </c>
      <c r="P31" s="95">
        <f t="shared" si="2"/>
        <v>0</v>
      </c>
      <c r="Q31" s="95">
        <f t="shared" ca="1" si="3"/>
        <v>0</v>
      </c>
      <c r="R31" s="95">
        <f t="shared" si="4"/>
        <v>0</v>
      </c>
      <c r="S31" s="95">
        <f t="shared" ca="1" si="5"/>
        <v>0</v>
      </c>
      <c r="T31" s="3" t="str">
        <f t="shared" si="6"/>
        <v>Leistungswert eintragen</v>
      </c>
      <c r="U31" s="3">
        <f t="shared" si="7"/>
        <v>0</v>
      </c>
    </row>
    <row r="32" spans="1:21" ht="15" customHeight="1" x14ac:dyDescent="0.2">
      <c r="A32" s="153">
        <v>11</v>
      </c>
      <c r="B32" s="165" t="s">
        <v>425</v>
      </c>
      <c r="C32" s="166" t="s">
        <v>276</v>
      </c>
      <c r="D32" s="166"/>
      <c r="E32" s="166" t="s">
        <v>304</v>
      </c>
      <c r="F32" s="166" t="s">
        <v>287</v>
      </c>
      <c r="G32" s="167">
        <v>7.21</v>
      </c>
      <c r="H32" s="167"/>
      <c r="I32" s="167"/>
      <c r="J32" s="153" t="s">
        <v>312</v>
      </c>
      <c r="K32" s="167">
        <v>0</v>
      </c>
      <c r="L32" s="95">
        <f>VLOOKUP(K32,Reinigungstage!A10:E31,5,FALSE)</f>
        <v>0</v>
      </c>
      <c r="M32" s="95">
        <f t="shared" si="0"/>
        <v>0</v>
      </c>
      <c r="N32" s="168">
        <f t="shared" si="1"/>
        <v>0</v>
      </c>
      <c r="O32" s="95">
        <f ca="1">IF('SVS UnterhaltsRG'!H61="",0,'SVS UnterhaltsRG'!H61)</f>
        <v>0</v>
      </c>
      <c r="P32" s="95">
        <f t="shared" si="2"/>
        <v>0</v>
      </c>
      <c r="Q32" s="95">
        <f t="shared" si="3"/>
        <v>0</v>
      </c>
      <c r="R32" s="95">
        <f t="shared" si="4"/>
        <v>0</v>
      </c>
      <c r="S32" s="95">
        <f t="shared" si="5"/>
        <v>0</v>
      </c>
      <c r="T32" s="3" t="str">
        <f t="shared" si="6"/>
        <v/>
      </c>
      <c r="U32" s="3">
        <f t="shared" si="7"/>
        <v>0</v>
      </c>
    </row>
    <row r="33" spans="1:21" ht="15" customHeight="1" x14ac:dyDescent="0.2">
      <c r="A33" s="153">
        <v>12</v>
      </c>
      <c r="B33" s="165" t="s">
        <v>426</v>
      </c>
      <c r="C33" s="166" t="s">
        <v>276</v>
      </c>
      <c r="D33" s="166"/>
      <c r="E33" s="166" t="s">
        <v>288</v>
      </c>
      <c r="F33" s="166" t="s">
        <v>427</v>
      </c>
      <c r="G33" s="167">
        <v>8.5</v>
      </c>
      <c r="H33" s="167"/>
      <c r="I33" s="167"/>
      <c r="J33" s="153" t="s">
        <v>313</v>
      </c>
      <c r="K33" s="167">
        <v>5</v>
      </c>
      <c r="L33" s="95">
        <f>VLOOKUP(K33,Reinigungstage!A10:E31,5,FALSE)</f>
        <v>253.33</v>
      </c>
      <c r="M33" s="95">
        <f t="shared" si="0"/>
        <v>2153.31</v>
      </c>
      <c r="N33" s="168">
        <f t="shared" si="1"/>
        <v>0</v>
      </c>
      <c r="O33" s="95">
        <f ca="1">IF('SVS UnterhaltsRG'!H61="",0,'SVS UnterhaltsRG'!H61)</f>
        <v>0</v>
      </c>
      <c r="P33" s="95">
        <f t="shared" si="2"/>
        <v>0</v>
      </c>
      <c r="Q33" s="95">
        <f t="shared" ca="1" si="3"/>
        <v>0</v>
      </c>
      <c r="R33" s="95">
        <f t="shared" si="4"/>
        <v>0</v>
      </c>
      <c r="S33" s="95">
        <f t="shared" ca="1" si="5"/>
        <v>0</v>
      </c>
      <c r="T33" s="3" t="str">
        <f t="shared" si="6"/>
        <v>Leistungswert eintragen</v>
      </c>
      <c r="U33" s="3">
        <f t="shared" si="7"/>
        <v>0</v>
      </c>
    </row>
    <row r="34" spans="1:21" ht="15" customHeight="1" x14ac:dyDescent="0.2">
      <c r="A34" s="153">
        <v>13</v>
      </c>
      <c r="B34" s="165" t="s">
        <v>428</v>
      </c>
      <c r="C34" s="166" t="s">
        <v>276</v>
      </c>
      <c r="D34" s="166"/>
      <c r="E34" s="166" t="s">
        <v>285</v>
      </c>
      <c r="F34" s="166" t="s">
        <v>285</v>
      </c>
      <c r="G34" s="167">
        <v>0</v>
      </c>
      <c r="H34" s="167"/>
      <c r="I34" s="167"/>
      <c r="J34" s="153" t="s">
        <v>312</v>
      </c>
      <c r="K34" s="167">
        <v>0</v>
      </c>
      <c r="L34" s="95">
        <f>VLOOKUP(K34,Reinigungstage!A10:E31,5,FALSE)</f>
        <v>0</v>
      </c>
      <c r="M34" s="95">
        <f t="shared" si="0"/>
        <v>0</v>
      </c>
      <c r="N34" s="168">
        <f t="shared" si="1"/>
        <v>0</v>
      </c>
      <c r="O34" s="95">
        <f ca="1">IF('SVS UnterhaltsRG'!H61="",0,'SVS UnterhaltsRG'!H61)</f>
        <v>0</v>
      </c>
      <c r="P34" s="95">
        <f t="shared" si="2"/>
        <v>0</v>
      </c>
      <c r="Q34" s="95">
        <f t="shared" si="3"/>
        <v>0</v>
      </c>
      <c r="R34" s="95">
        <f t="shared" si="4"/>
        <v>0</v>
      </c>
      <c r="S34" s="95">
        <f t="shared" si="5"/>
        <v>0</v>
      </c>
      <c r="T34" s="3" t="str">
        <f t="shared" si="6"/>
        <v/>
      </c>
      <c r="U34" s="3">
        <f t="shared" si="7"/>
        <v>0</v>
      </c>
    </row>
    <row r="35" spans="1:21" ht="15" customHeight="1" x14ac:dyDescent="0.2">
      <c r="A35" s="153">
        <v>14</v>
      </c>
      <c r="B35" s="165" t="s">
        <v>429</v>
      </c>
      <c r="C35" s="166" t="s">
        <v>276</v>
      </c>
      <c r="D35" s="166"/>
      <c r="E35" s="166" t="s">
        <v>430</v>
      </c>
      <c r="F35" s="166" t="s">
        <v>427</v>
      </c>
      <c r="G35" s="167">
        <v>16.82</v>
      </c>
      <c r="H35" s="167"/>
      <c r="I35" s="167"/>
      <c r="J35" s="153" t="s">
        <v>312</v>
      </c>
      <c r="K35" s="167">
        <v>0</v>
      </c>
      <c r="L35" s="95">
        <f>VLOOKUP(K35,Reinigungstage!A10:E31,5,FALSE)</f>
        <v>0</v>
      </c>
      <c r="M35" s="95">
        <f t="shared" si="0"/>
        <v>0</v>
      </c>
      <c r="N35" s="168">
        <f t="shared" si="1"/>
        <v>0</v>
      </c>
      <c r="O35" s="95">
        <f ca="1">IF('SVS UnterhaltsRG'!H61="",0,'SVS UnterhaltsRG'!H61)</f>
        <v>0</v>
      </c>
      <c r="P35" s="95">
        <f t="shared" si="2"/>
        <v>0</v>
      </c>
      <c r="Q35" s="95">
        <f t="shared" si="3"/>
        <v>0</v>
      </c>
      <c r="R35" s="95">
        <f t="shared" si="4"/>
        <v>0</v>
      </c>
      <c r="S35" s="95">
        <f t="shared" si="5"/>
        <v>0</v>
      </c>
      <c r="T35" s="3" t="str">
        <f t="shared" si="6"/>
        <v/>
      </c>
      <c r="U35" s="3">
        <f t="shared" si="7"/>
        <v>0</v>
      </c>
    </row>
    <row r="36" spans="1:21" ht="15" customHeight="1" x14ac:dyDescent="0.2">
      <c r="A36" s="153">
        <v>15</v>
      </c>
      <c r="B36" s="165" t="s">
        <v>431</v>
      </c>
      <c r="C36" s="166" t="s">
        <v>276</v>
      </c>
      <c r="D36" s="166"/>
      <c r="E36" s="166" t="s">
        <v>432</v>
      </c>
      <c r="F36" s="166" t="s">
        <v>427</v>
      </c>
      <c r="G36" s="167">
        <v>34.85</v>
      </c>
      <c r="H36" s="167"/>
      <c r="I36" s="167"/>
      <c r="J36" s="153" t="s">
        <v>312</v>
      </c>
      <c r="K36" s="167">
        <v>0</v>
      </c>
      <c r="L36" s="95">
        <f>VLOOKUP(K36,Reinigungstage!A10:E31,5,FALSE)</f>
        <v>0</v>
      </c>
      <c r="M36" s="95">
        <f t="shared" si="0"/>
        <v>0</v>
      </c>
      <c r="N36" s="168">
        <f t="shared" si="1"/>
        <v>0</v>
      </c>
      <c r="O36" s="95">
        <f ca="1">IF('SVS UnterhaltsRG'!H61="",0,'SVS UnterhaltsRG'!H61)</f>
        <v>0</v>
      </c>
      <c r="P36" s="95">
        <f t="shared" si="2"/>
        <v>0</v>
      </c>
      <c r="Q36" s="95">
        <f t="shared" si="3"/>
        <v>0</v>
      </c>
      <c r="R36" s="95">
        <f t="shared" si="4"/>
        <v>0</v>
      </c>
      <c r="S36" s="95">
        <f t="shared" si="5"/>
        <v>0</v>
      </c>
      <c r="T36" s="3" t="str">
        <f t="shared" si="6"/>
        <v/>
      </c>
      <c r="U36" s="3">
        <f t="shared" si="7"/>
        <v>0</v>
      </c>
    </row>
    <row r="37" spans="1:21" ht="15" customHeight="1" x14ac:dyDescent="0.2">
      <c r="A37" s="153">
        <v>16</v>
      </c>
      <c r="B37" s="165" t="s">
        <v>433</v>
      </c>
      <c r="C37" s="166" t="s">
        <v>276</v>
      </c>
      <c r="D37" s="166"/>
      <c r="E37" s="166" t="s">
        <v>434</v>
      </c>
      <c r="F37" s="166" t="s">
        <v>427</v>
      </c>
      <c r="G37" s="167">
        <v>4.12</v>
      </c>
      <c r="H37" s="167"/>
      <c r="I37" s="167"/>
      <c r="J37" s="153" t="s">
        <v>312</v>
      </c>
      <c r="K37" s="167">
        <v>0</v>
      </c>
      <c r="L37" s="95">
        <f>VLOOKUP(K37,Reinigungstage!A10:E31,5,FALSE)</f>
        <v>0</v>
      </c>
      <c r="M37" s="95">
        <f t="shared" si="0"/>
        <v>0</v>
      </c>
      <c r="N37" s="168">
        <f t="shared" si="1"/>
        <v>0</v>
      </c>
      <c r="O37" s="95">
        <f ca="1">IF('SVS UnterhaltsRG'!H61="",0,'SVS UnterhaltsRG'!H61)</f>
        <v>0</v>
      </c>
      <c r="P37" s="95">
        <f t="shared" si="2"/>
        <v>0</v>
      </c>
      <c r="Q37" s="95">
        <f t="shared" si="3"/>
        <v>0</v>
      </c>
      <c r="R37" s="95">
        <f t="shared" si="4"/>
        <v>0</v>
      </c>
      <c r="S37" s="95">
        <f t="shared" si="5"/>
        <v>0</v>
      </c>
      <c r="T37" s="3" t="str">
        <f t="shared" si="6"/>
        <v/>
      </c>
      <c r="U37" s="3">
        <f t="shared" si="7"/>
        <v>0</v>
      </c>
    </row>
    <row r="38" spans="1:21" ht="15" customHeight="1" x14ac:dyDescent="0.2">
      <c r="A38" s="153">
        <v>17</v>
      </c>
      <c r="B38" s="165" t="s">
        <v>435</v>
      </c>
      <c r="C38" s="166" t="s">
        <v>276</v>
      </c>
      <c r="D38" s="166"/>
      <c r="E38" s="166" t="s">
        <v>436</v>
      </c>
      <c r="F38" s="166" t="s">
        <v>427</v>
      </c>
      <c r="G38" s="167">
        <v>2.98</v>
      </c>
      <c r="H38" s="167"/>
      <c r="I38" s="167"/>
      <c r="J38" s="153" t="s">
        <v>312</v>
      </c>
      <c r="K38" s="167">
        <v>0</v>
      </c>
      <c r="L38" s="95">
        <f>VLOOKUP(K38,Reinigungstage!A10:E31,5,FALSE)</f>
        <v>0</v>
      </c>
      <c r="M38" s="95">
        <f t="shared" si="0"/>
        <v>0</v>
      </c>
      <c r="N38" s="168">
        <f t="shared" si="1"/>
        <v>0</v>
      </c>
      <c r="O38" s="95">
        <f ca="1">IF('SVS UnterhaltsRG'!H61="",0,'SVS UnterhaltsRG'!H61)</f>
        <v>0</v>
      </c>
      <c r="P38" s="95">
        <f t="shared" si="2"/>
        <v>0</v>
      </c>
      <c r="Q38" s="95">
        <f t="shared" si="3"/>
        <v>0</v>
      </c>
      <c r="R38" s="95">
        <f t="shared" si="4"/>
        <v>0</v>
      </c>
      <c r="S38" s="95">
        <f t="shared" si="5"/>
        <v>0</v>
      </c>
      <c r="T38" s="3" t="str">
        <f t="shared" si="6"/>
        <v/>
      </c>
      <c r="U38" s="3">
        <f t="shared" si="7"/>
        <v>0</v>
      </c>
    </row>
    <row r="39" spans="1:21" ht="15" customHeight="1" x14ac:dyDescent="0.2">
      <c r="A39" s="153">
        <v>18</v>
      </c>
      <c r="B39" s="165" t="s">
        <v>437</v>
      </c>
      <c r="C39" s="166" t="s">
        <v>276</v>
      </c>
      <c r="D39" s="166"/>
      <c r="E39" s="166" t="s">
        <v>438</v>
      </c>
      <c r="F39" s="166" t="s">
        <v>427</v>
      </c>
      <c r="G39" s="167">
        <v>4.05</v>
      </c>
      <c r="H39" s="167"/>
      <c r="I39" s="167"/>
      <c r="J39" s="153" t="s">
        <v>312</v>
      </c>
      <c r="K39" s="167">
        <v>0</v>
      </c>
      <c r="L39" s="95">
        <f>VLOOKUP(K39,Reinigungstage!A10:E31,5,FALSE)</f>
        <v>0</v>
      </c>
      <c r="M39" s="95">
        <f t="shared" si="0"/>
        <v>0</v>
      </c>
      <c r="N39" s="168">
        <f t="shared" si="1"/>
        <v>0</v>
      </c>
      <c r="O39" s="95">
        <f ca="1">IF('SVS UnterhaltsRG'!H61="",0,'SVS UnterhaltsRG'!H61)</f>
        <v>0</v>
      </c>
      <c r="P39" s="95">
        <f t="shared" si="2"/>
        <v>0</v>
      </c>
      <c r="Q39" s="95">
        <f t="shared" si="3"/>
        <v>0</v>
      </c>
      <c r="R39" s="95">
        <f t="shared" si="4"/>
        <v>0</v>
      </c>
      <c r="S39" s="95">
        <f t="shared" si="5"/>
        <v>0</v>
      </c>
      <c r="T39" s="3" t="str">
        <f t="shared" si="6"/>
        <v/>
      </c>
      <c r="U39" s="3">
        <f t="shared" si="7"/>
        <v>0</v>
      </c>
    </row>
    <row r="40" spans="1:21" ht="15" customHeight="1" x14ac:dyDescent="0.2">
      <c r="A40" s="153">
        <v>19</v>
      </c>
      <c r="B40" s="165" t="s">
        <v>439</v>
      </c>
      <c r="C40" s="166" t="s">
        <v>276</v>
      </c>
      <c r="D40" s="166"/>
      <c r="E40" s="166" t="s">
        <v>440</v>
      </c>
      <c r="F40" s="166" t="s">
        <v>293</v>
      </c>
      <c r="G40" s="167">
        <v>39.36</v>
      </c>
      <c r="H40" s="167"/>
      <c r="I40" s="167"/>
      <c r="J40" s="153" t="s">
        <v>291</v>
      </c>
      <c r="K40" s="167">
        <v>5</v>
      </c>
      <c r="L40" s="95">
        <f>VLOOKUP(K40,Reinigungstage!A10:E31,5,FALSE)</f>
        <v>253.33</v>
      </c>
      <c r="M40" s="95">
        <f t="shared" si="0"/>
        <v>9971.07</v>
      </c>
      <c r="N40" s="168">
        <f t="shared" si="1"/>
        <v>0</v>
      </c>
      <c r="O40" s="95">
        <f ca="1">IF('SVS UnterhaltsRG'!H61="",0,'SVS UnterhaltsRG'!H61)</f>
        <v>0</v>
      </c>
      <c r="P40" s="95">
        <f t="shared" si="2"/>
        <v>0</v>
      </c>
      <c r="Q40" s="95">
        <f t="shared" ca="1" si="3"/>
        <v>0</v>
      </c>
      <c r="R40" s="95">
        <f t="shared" si="4"/>
        <v>0</v>
      </c>
      <c r="S40" s="95">
        <f t="shared" ca="1" si="5"/>
        <v>0</v>
      </c>
      <c r="T40" s="3" t="str">
        <f t="shared" si="6"/>
        <v>Leistungswert eintragen</v>
      </c>
      <c r="U40" s="3">
        <f t="shared" si="7"/>
        <v>0</v>
      </c>
    </row>
    <row r="41" spans="1:21" ht="15" customHeight="1" x14ac:dyDescent="0.2">
      <c r="A41" s="153">
        <v>20</v>
      </c>
      <c r="B41" s="165" t="s">
        <v>441</v>
      </c>
      <c r="C41" s="166" t="s">
        <v>276</v>
      </c>
      <c r="D41" s="166"/>
      <c r="E41" s="166" t="s">
        <v>442</v>
      </c>
      <c r="F41" s="166" t="s">
        <v>293</v>
      </c>
      <c r="G41" s="167">
        <v>37.35</v>
      </c>
      <c r="H41" s="167"/>
      <c r="I41" s="167"/>
      <c r="J41" s="153" t="s">
        <v>291</v>
      </c>
      <c r="K41" s="167">
        <v>5</v>
      </c>
      <c r="L41" s="95">
        <f>VLOOKUP(K41,Reinigungstage!A10:E31,5,FALSE)</f>
        <v>253.33</v>
      </c>
      <c r="M41" s="95">
        <f t="shared" si="0"/>
        <v>9461.8799999999992</v>
      </c>
      <c r="N41" s="168">
        <f t="shared" si="1"/>
        <v>0</v>
      </c>
      <c r="O41" s="95">
        <f ca="1">IF('SVS UnterhaltsRG'!H61="",0,'SVS UnterhaltsRG'!H61)</f>
        <v>0</v>
      </c>
      <c r="P41" s="95">
        <f t="shared" si="2"/>
        <v>0</v>
      </c>
      <c r="Q41" s="95">
        <f t="shared" ca="1" si="3"/>
        <v>0</v>
      </c>
      <c r="R41" s="95">
        <f t="shared" si="4"/>
        <v>0</v>
      </c>
      <c r="S41" s="95">
        <f t="shared" ca="1" si="5"/>
        <v>0</v>
      </c>
      <c r="T41" s="3" t="str">
        <f t="shared" si="6"/>
        <v>Leistungswert eintragen</v>
      </c>
      <c r="U41" s="3">
        <f t="shared" si="7"/>
        <v>0</v>
      </c>
    </row>
    <row r="42" spans="1:21" ht="15" customHeight="1" x14ac:dyDescent="0.2">
      <c r="A42" s="153">
        <v>21</v>
      </c>
      <c r="B42" s="165" t="s">
        <v>443</v>
      </c>
      <c r="C42" s="166" t="s">
        <v>276</v>
      </c>
      <c r="D42" s="166" t="s">
        <v>290</v>
      </c>
      <c r="E42" s="166" t="s">
        <v>444</v>
      </c>
      <c r="F42" s="166" t="s">
        <v>293</v>
      </c>
      <c r="G42" s="167">
        <v>13.19</v>
      </c>
      <c r="H42" s="167"/>
      <c r="I42" s="167"/>
      <c r="J42" s="153" t="s">
        <v>291</v>
      </c>
      <c r="K42" s="167">
        <v>5</v>
      </c>
      <c r="L42" s="95">
        <f>VLOOKUP(K42,Reinigungstage!A10:E31,5,FALSE)</f>
        <v>253.33</v>
      </c>
      <c r="M42" s="95">
        <f t="shared" si="0"/>
        <v>3341.42</v>
      </c>
      <c r="N42" s="168">
        <f t="shared" si="1"/>
        <v>0</v>
      </c>
      <c r="O42" s="95">
        <f ca="1">IF('SVS UnterhaltsRG'!H61="",0,'SVS UnterhaltsRG'!H61)</f>
        <v>0</v>
      </c>
      <c r="P42" s="95">
        <f t="shared" si="2"/>
        <v>0</v>
      </c>
      <c r="Q42" s="95">
        <f t="shared" ca="1" si="3"/>
        <v>0</v>
      </c>
      <c r="R42" s="95">
        <f t="shared" si="4"/>
        <v>0</v>
      </c>
      <c r="S42" s="95">
        <f t="shared" ca="1" si="5"/>
        <v>0</v>
      </c>
      <c r="T42" s="3" t="str">
        <f t="shared" si="6"/>
        <v>Leistungswert eintragen</v>
      </c>
      <c r="U42" s="3">
        <f t="shared" si="7"/>
        <v>0</v>
      </c>
    </row>
    <row r="43" spans="1:21" ht="15" customHeight="1" x14ac:dyDescent="0.2">
      <c r="A43" s="153">
        <v>22</v>
      </c>
      <c r="B43" s="165" t="s">
        <v>445</v>
      </c>
      <c r="C43" s="166" t="s">
        <v>276</v>
      </c>
      <c r="D43" s="166"/>
      <c r="E43" s="166" t="s">
        <v>288</v>
      </c>
      <c r="F43" s="166" t="s">
        <v>293</v>
      </c>
      <c r="G43" s="167">
        <v>6.58</v>
      </c>
      <c r="H43" s="167"/>
      <c r="I43" s="167"/>
      <c r="J43" s="153" t="s">
        <v>313</v>
      </c>
      <c r="K43" s="167">
        <v>5</v>
      </c>
      <c r="L43" s="95">
        <f>VLOOKUP(K43,Reinigungstage!A10:E31,5,FALSE)</f>
        <v>253.33</v>
      </c>
      <c r="M43" s="95">
        <f t="shared" si="0"/>
        <v>1666.91</v>
      </c>
      <c r="N43" s="168">
        <f t="shared" si="1"/>
        <v>0</v>
      </c>
      <c r="O43" s="95">
        <f ca="1">IF('SVS UnterhaltsRG'!H61="",0,'SVS UnterhaltsRG'!H61)</f>
        <v>0</v>
      </c>
      <c r="P43" s="95">
        <f t="shared" si="2"/>
        <v>0</v>
      </c>
      <c r="Q43" s="95">
        <f t="shared" ca="1" si="3"/>
        <v>0</v>
      </c>
      <c r="R43" s="95">
        <f t="shared" si="4"/>
        <v>0</v>
      </c>
      <c r="S43" s="95">
        <f t="shared" ca="1" si="5"/>
        <v>0</v>
      </c>
      <c r="T43" s="3" t="str">
        <f t="shared" si="6"/>
        <v>Leistungswert eintragen</v>
      </c>
      <c r="U43" s="3">
        <f t="shared" si="7"/>
        <v>0</v>
      </c>
    </row>
    <row r="44" spans="1:21" ht="15" customHeight="1" x14ac:dyDescent="0.2">
      <c r="A44" s="153">
        <v>23</v>
      </c>
      <c r="B44" s="165" t="s">
        <v>446</v>
      </c>
      <c r="C44" s="166" t="s">
        <v>276</v>
      </c>
      <c r="D44" s="166"/>
      <c r="E44" s="166" t="s">
        <v>447</v>
      </c>
      <c r="F44" s="166" t="s">
        <v>293</v>
      </c>
      <c r="G44" s="167">
        <v>2.36</v>
      </c>
      <c r="H44" s="167"/>
      <c r="I44" s="167"/>
      <c r="J44" s="153" t="s">
        <v>312</v>
      </c>
      <c r="K44" s="153" t="s">
        <v>168</v>
      </c>
      <c r="L44" s="95">
        <f>VLOOKUP(K44,Reinigungstage!A10:E31,5,FALSE)</f>
        <v>1</v>
      </c>
      <c r="M44" s="95">
        <f t="shared" si="0"/>
        <v>2.36</v>
      </c>
      <c r="N44" s="168">
        <f t="shared" si="1"/>
        <v>0</v>
      </c>
      <c r="O44" s="95">
        <f ca="1">IF('SVS UnterhaltsRG'!H61="",0,'SVS UnterhaltsRG'!H61)</f>
        <v>0</v>
      </c>
      <c r="P44" s="95">
        <f t="shared" si="2"/>
        <v>0</v>
      </c>
      <c r="Q44" s="95">
        <f t="shared" ca="1" si="3"/>
        <v>0</v>
      </c>
      <c r="R44" s="95">
        <f t="shared" si="4"/>
        <v>0</v>
      </c>
      <c r="S44" s="95">
        <f t="shared" ca="1" si="5"/>
        <v>0</v>
      </c>
      <c r="T44" s="3" t="str">
        <f t="shared" si="6"/>
        <v>Leistungswert eintragen</v>
      </c>
      <c r="U44" s="3">
        <f t="shared" si="7"/>
        <v>0</v>
      </c>
    </row>
    <row r="45" spans="1:21" ht="15" customHeight="1" x14ac:dyDescent="0.2">
      <c r="A45" s="153">
        <v>24</v>
      </c>
      <c r="B45" s="165" t="s">
        <v>448</v>
      </c>
      <c r="C45" s="166" t="s">
        <v>276</v>
      </c>
      <c r="D45" s="166" t="s">
        <v>290</v>
      </c>
      <c r="E45" s="166" t="s">
        <v>380</v>
      </c>
      <c r="F45" s="166" t="s">
        <v>293</v>
      </c>
      <c r="G45" s="167">
        <v>5.51</v>
      </c>
      <c r="H45" s="167"/>
      <c r="I45" s="167"/>
      <c r="J45" s="153" t="s">
        <v>314</v>
      </c>
      <c r="K45" s="167">
        <v>5</v>
      </c>
      <c r="L45" s="95">
        <f>VLOOKUP(K45,Reinigungstage!A10:E31,5,FALSE)</f>
        <v>253.33</v>
      </c>
      <c r="M45" s="95">
        <f t="shared" si="0"/>
        <v>1395.85</v>
      </c>
      <c r="N45" s="168">
        <f t="shared" si="1"/>
        <v>0</v>
      </c>
      <c r="O45" s="95">
        <f ca="1">IF('SVS UnterhaltsRG'!H61="",0,'SVS UnterhaltsRG'!H61)</f>
        <v>0</v>
      </c>
      <c r="P45" s="95">
        <f t="shared" si="2"/>
        <v>0</v>
      </c>
      <c r="Q45" s="95">
        <f t="shared" ca="1" si="3"/>
        <v>0</v>
      </c>
      <c r="R45" s="95">
        <f t="shared" si="4"/>
        <v>0</v>
      </c>
      <c r="S45" s="95">
        <f t="shared" ca="1" si="5"/>
        <v>0</v>
      </c>
      <c r="T45" s="3" t="str">
        <f t="shared" si="6"/>
        <v>Leistungswert eintragen</v>
      </c>
      <c r="U45" s="3">
        <f t="shared" si="7"/>
        <v>0</v>
      </c>
    </row>
    <row r="46" spans="1:21" ht="15" customHeight="1" x14ac:dyDescent="0.2">
      <c r="A46" s="153">
        <v>25</v>
      </c>
      <c r="B46" s="165" t="s">
        <v>449</v>
      </c>
      <c r="C46" s="166" t="s">
        <v>276</v>
      </c>
      <c r="D46" s="166" t="s">
        <v>290</v>
      </c>
      <c r="E46" s="166" t="s">
        <v>292</v>
      </c>
      <c r="F46" s="166" t="s">
        <v>293</v>
      </c>
      <c r="G46" s="167">
        <v>16.13</v>
      </c>
      <c r="H46" s="167"/>
      <c r="I46" s="167"/>
      <c r="J46" s="153" t="s">
        <v>314</v>
      </c>
      <c r="K46" s="167">
        <v>5</v>
      </c>
      <c r="L46" s="95">
        <f>VLOOKUP(K46,Reinigungstage!A10:E31,5,FALSE)</f>
        <v>253.33</v>
      </c>
      <c r="M46" s="95">
        <f t="shared" si="0"/>
        <v>4086.21</v>
      </c>
      <c r="N46" s="168">
        <f t="shared" si="1"/>
        <v>0</v>
      </c>
      <c r="O46" s="95">
        <f ca="1">IF('SVS UnterhaltsRG'!H61="",0,'SVS UnterhaltsRG'!H61)</f>
        <v>0</v>
      </c>
      <c r="P46" s="95">
        <f t="shared" si="2"/>
        <v>0</v>
      </c>
      <c r="Q46" s="95">
        <f t="shared" ca="1" si="3"/>
        <v>0</v>
      </c>
      <c r="R46" s="95">
        <f t="shared" si="4"/>
        <v>0</v>
      </c>
      <c r="S46" s="95">
        <f t="shared" ca="1" si="5"/>
        <v>0</v>
      </c>
      <c r="T46" s="3" t="str">
        <f t="shared" si="6"/>
        <v>Leistungswert eintragen</v>
      </c>
      <c r="U46" s="3">
        <f t="shared" si="7"/>
        <v>0</v>
      </c>
    </row>
    <row r="47" spans="1:21" ht="15" customHeight="1" x14ac:dyDescent="0.2">
      <c r="A47" s="153">
        <v>26</v>
      </c>
      <c r="B47" s="165" t="s">
        <v>450</v>
      </c>
      <c r="C47" s="166" t="s">
        <v>276</v>
      </c>
      <c r="D47" s="166" t="s">
        <v>301</v>
      </c>
      <c r="E47" s="166" t="s">
        <v>444</v>
      </c>
      <c r="F47" s="166" t="s">
        <v>293</v>
      </c>
      <c r="G47" s="167">
        <v>13.64</v>
      </c>
      <c r="H47" s="167"/>
      <c r="I47" s="167"/>
      <c r="J47" s="153" t="s">
        <v>291</v>
      </c>
      <c r="K47" s="167">
        <v>5</v>
      </c>
      <c r="L47" s="95">
        <f>VLOOKUP(K47,Reinigungstage!A10:E31,5,FALSE)</f>
        <v>253.33</v>
      </c>
      <c r="M47" s="95">
        <f t="shared" si="0"/>
        <v>3455.42</v>
      </c>
      <c r="N47" s="168">
        <f t="shared" si="1"/>
        <v>0</v>
      </c>
      <c r="O47" s="95">
        <f ca="1">IF('SVS UnterhaltsRG'!H61="",0,'SVS UnterhaltsRG'!H61)</f>
        <v>0</v>
      </c>
      <c r="P47" s="95">
        <f t="shared" si="2"/>
        <v>0</v>
      </c>
      <c r="Q47" s="95">
        <f t="shared" ca="1" si="3"/>
        <v>0</v>
      </c>
      <c r="R47" s="95">
        <f t="shared" si="4"/>
        <v>0</v>
      </c>
      <c r="S47" s="95">
        <f t="shared" ca="1" si="5"/>
        <v>0</v>
      </c>
      <c r="T47" s="3" t="str">
        <f t="shared" si="6"/>
        <v>Leistungswert eintragen</v>
      </c>
      <c r="U47" s="3">
        <f t="shared" si="7"/>
        <v>0</v>
      </c>
    </row>
    <row r="48" spans="1:21" ht="15" customHeight="1" x14ac:dyDescent="0.2">
      <c r="A48" s="153">
        <v>27</v>
      </c>
      <c r="B48" s="165" t="s">
        <v>451</v>
      </c>
      <c r="C48" s="166" t="s">
        <v>276</v>
      </c>
      <c r="D48" s="166"/>
      <c r="E48" s="166" t="s">
        <v>288</v>
      </c>
      <c r="F48" s="166" t="s">
        <v>293</v>
      </c>
      <c r="G48" s="167">
        <v>9.5</v>
      </c>
      <c r="H48" s="167"/>
      <c r="I48" s="167"/>
      <c r="J48" s="153" t="s">
        <v>313</v>
      </c>
      <c r="K48" s="167">
        <v>5</v>
      </c>
      <c r="L48" s="95">
        <f>VLOOKUP(K48,Reinigungstage!A10:E31,5,FALSE)</f>
        <v>253.33</v>
      </c>
      <c r="M48" s="95">
        <f t="shared" si="0"/>
        <v>2406.64</v>
      </c>
      <c r="N48" s="168">
        <f t="shared" si="1"/>
        <v>0</v>
      </c>
      <c r="O48" s="95">
        <f ca="1">IF('SVS UnterhaltsRG'!H61="",0,'SVS UnterhaltsRG'!H61)</f>
        <v>0</v>
      </c>
      <c r="P48" s="95">
        <f t="shared" si="2"/>
        <v>0</v>
      </c>
      <c r="Q48" s="95">
        <f t="shared" ca="1" si="3"/>
        <v>0</v>
      </c>
      <c r="R48" s="95">
        <f t="shared" si="4"/>
        <v>0</v>
      </c>
      <c r="S48" s="95">
        <f t="shared" ca="1" si="5"/>
        <v>0</v>
      </c>
      <c r="T48" s="3" t="str">
        <f t="shared" si="6"/>
        <v>Leistungswert eintragen</v>
      </c>
      <c r="U48" s="3">
        <f t="shared" si="7"/>
        <v>0</v>
      </c>
    </row>
    <row r="49" spans="1:21" ht="15" customHeight="1" x14ac:dyDescent="0.2">
      <c r="A49" s="153">
        <v>28</v>
      </c>
      <c r="B49" s="165" t="s">
        <v>452</v>
      </c>
      <c r="C49" s="166" t="s">
        <v>276</v>
      </c>
      <c r="D49" s="166" t="s">
        <v>301</v>
      </c>
      <c r="E49" s="166" t="s">
        <v>292</v>
      </c>
      <c r="F49" s="166" t="s">
        <v>293</v>
      </c>
      <c r="G49" s="167">
        <v>15.41</v>
      </c>
      <c r="H49" s="167"/>
      <c r="I49" s="167"/>
      <c r="J49" s="153" t="s">
        <v>314</v>
      </c>
      <c r="K49" s="167">
        <v>5</v>
      </c>
      <c r="L49" s="95">
        <f>VLOOKUP(K49,Reinigungstage!A10:E31,5,FALSE)</f>
        <v>253.33</v>
      </c>
      <c r="M49" s="95">
        <f t="shared" si="0"/>
        <v>3903.82</v>
      </c>
      <c r="N49" s="168">
        <f t="shared" si="1"/>
        <v>0</v>
      </c>
      <c r="O49" s="95">
        <f ca="1">IF('SVS UnterhaltsRG'!H61="",0,'SVS UnterhaltsRG'!H61)</f>
        <v>0</v>
      </c>
      <c r="P49" s="95">
        <f t="shared" si="2"/>
        <v>0</v>
      </c>
      <c r="Q49" s="95">
        <f t="shared" ca="1" si="3"/>
        <v>0</v>
      </c>
      <c r="R49" s="95">
        <f t="shared" si="4"/>
        <v>0</v>
      </c>
      <c r="S49" s="95">
        <f t="shared" ca="1" si="5"/>
        <v>0</v>
      </c>
      <c r="T49" s="3" t="str">
        <f t="shared" si="6"/>
        <v>Leistungswert eintragen</v>
      </c>
      <c r="U49" s="3">
        <f t="shared" si="7"/>
        <v>0</v>
      </c>
    </row>
    <row r="50" spans="1:21" ht="15" customHeight="1" x14ac:dyDescent="0.2">
      <c r="A50" s="153">
        <v>29</v>
      </c>
      <c r="B50" s="165" t="s">
        <v>453</v>
      </c>
      <c r="C50" s="166" t="s">
        <v>276</v>
      </c>
      <c r="D50" s="166" t="s">
        <v>301</v>
      </c>
      <c r="E50" s="166" t="s">
        <v>381</v>
      </c>
      <c r="F50" s="166" t="s">
        <v>293</v>
      </c>
      <c r="G50" s="167">
        <v>7.89</v>
      </c>
      <c r="H50" s="167"/>
      <c r="I50" s="167"/>
      <c r="J50" s="153" t="s">
        <v>314</v>
      </c>
      <c r="K50" s="167">
        <v>5</v>
      </c>
      <c r="L50" s="95">
        <f>VLOOKUP(K50,Reinigungstage!A10:E31,5,FALSE)</f>
        <v>253.33</v>
      </c>
      <c r="M50" s="95">
        <f t="shared" si="0"/>
        <v>1998.77</v>
      </c>
      <c r="N50" s="168">
        <f t="shared" si="1"/>
        <v>0</v>
      </c>
      <c r="O50" s="95">
        <f ca="1">IF('SVS UnterhaltsRG'!H61="",0,'SVS UnterhaltsRG'!H61)</f>
        <v>0</v>
      </c>
      <c r="P50" s="95">
        <f t="shared" si="2"/>
        <v>0</v>
      </c>
      <c r="Q50" s="95">
        <f t="shared" ca="1" si="3"/>
        <v>0</v>
      </c>
      <c r="R50" s="95">
        <f t="shared" si="4"/>
        <v>0</v>
      </c>
      <c r="S50" s="95">
        <f t="shared" ca="1" si="5"/>
        <v>0</v>
      </c>
      <c r="T50" s="3" t="str">
        <f t="shared" si="6"/>
        <v>Leistungswert eintragen</v>
      </c>
      <c r="U50" s="3">
        <f t="shared" si="7"/>
        <v>0</v>
      </c>
    </row>
    <row r="51" spans="1:21" ht="15" customHeight="1" x14ac:dyDescent="0.2">
      <c r="A51" s="153">
        <v>30</v>
      </c>
      <c r="B51" s="165" t="s">
        <v>454</v>
      </c>
      <c r="C51" s="166" t="s">
        <v>276</v>
      </c>
      <c r="D51" s="166"/>
      <c r="E51" s="166" t="s">
        <v>455</v>
      </c>
      <c r="F51" s="166" t="s">
        <v>293</v>
      </c>
      <c r="G51" s="167">
        <v>276.33</v>
      </c>
      <c r="H51" s="167"/>
      <c r="I51" s="167"/>
      <c r="J51" s="153" t="s">
        <v>314</v>
      </c>
      <c r="K51" s="167">
        <v>5</v>
      </c>
      <c r="L51" s="95">
        <f>VLOOKUP(K51,Reinigungstage!A10:E31,5,FALSE)</f>
        <v>253.33</v>
      </c>
      <c r="M51" s="95">
        <f t="shared" si="0"/>
        <v>70002.679999999993</v>
      </c>
      <c r="N51" s="168">
        <f t="shared" si="1"/>
        <v>0</v>
      </c>
      <c r="O51" s="95">
        <f ca="1">IF('SVS UnterhaltsRG'!H61="",0,'SVS UnterhaltsRG'!H61)</f>
        <v>0</v>
      </c>
      <c r="P51" s="95">
        <f t="shared" si="2"/>
        <v>0</v>
      </c>
      <c r="Q51" s="95">
        <f t="shared" ca="1" si="3"/>
        <v>0</v>
      </c>
      <c r="R51" s="95">
        <f t="shared" si="4"/>
        <v>0</v>
      </c>
      <c r="S51" s="95">
        <f t="shared" ca="1" si="5"/>
        <v>0</v>
      </c>
      <c r="T51" s="3" t="str">
        <f t="shared" si="6"/>
        <v>Leistungswert eintragen</v>
      </c>
      <c r="U51" s="3">
        <f t="shared" si="7"/>
        <v>0</v>
      </c>
    </row>
    <row r="52" spans="1:21" ht="15" customHeight="1" x14ac:dyDescent="0.2">
      <c r="A52" s="153">
        <v>31</v>
      </c>
      <c r="B52" s="165" t="s">
        <v>456</v>
      </c>
      <c r="C52" s="166" t="s">
        <v>276</v>
      </c>
      <c r="D52" s="166"/>
      <c r="E52" s="166" t="s">
        <v>457</v>
      </c>
      <c r="F52" s="166" t="s">
        <v>645</v>
      </c>
      <c r="G52" s="167">
        <v>236.83</v>
      </c>
      <c r="H52" s="167"/>
      <c r="I52" s="167"/>
      <c r="J52" s="153" t="s">
        <v>314</v>
      </c>
      <c r="K52" s="167">
        <v>0</v>
      </c>
      <c r="L52" s="95">
        <f>VLOOKUP(K52,Reinigungstage!A10:E31,5,FALSE)</f>
        <v>0</v>
      </c>
      <c r="M52" s="95">
        <f t="shared" si="0"/>
        <v>0</v>
      </c>
      <c r="N52" s="168">
        <f t="shared" si="1"/>
        <v>0</v>
      </c>
      <c r="O52" s="95">
        <f ca="1">IF('SVS UnterhaltsRG'!H61="",0,'SVS UnterhaltsRG'!H61)</f>
        <v>0</v>
      </c>
      <c r="P52" s="95">
        <f t="shared" si="2"/>
        <v>0</v>
      </c>
      <c r="Q52" s="95">
        <f t="shared" si="3"/>
        <v>0</v>
      </c>
      <c r="R52" s="95">
        <f t="shared" si="4"/>
        <v>0</v>
      </c>
      <c r="S52" s="95">
        <f t="shared" si="5"/>
        <v>0</v>
      </c>
      <c r="T52" s="3" t="str">
        <f t="shared" si="6"/>
        <v/>
      </c>
      <c r="U52" s="3">
        <f t="shared" si="7"/>
        <v>0</v>
      </c>
    </row>
    <row r="53" spans="1:21" ht="15" customHeight="1" x14ac:dyDescent="0.2">
      <c r="A53" s="153">
        <v>32</v>
      </c>
      <c r="B53" s="165" t="s">
        <v>458</v>
      </c>
      <c r="C53" s="166" t="s">
        <v>276</v>
      </c>
      <c r="D53" s="166"/>
      <c r="E53" s="166" t="s">
        <v>282</v>
      </c>
      <c r="F53" s="166" t="s">
        <v>293</v>
      </c>
      <c r="G53" s="167">
        <v>24.56</v>
      </c>
      <c r="H53" s="167"/>
      <c r="I53" s="167"/>
      <c r="J53" s="153" t="s">
        <v>312</v>
      </c>
      <c r="K53" s="167">
        <v>0</v>
      </c>
      <c r="L53" s="95">
        <f>VLOOKUP(K53,Reinigungstage!A10:E31,5,FALSE)</f>
        <v>0</v>
      </c>
      <c r="M53" s="95">
        <f t="shared" si="0"/>
        <v>0</v>
      </c>
      <c r="N53" s="168">
        <f t="shared" si="1"/>
        <v>0</v>
      </c>
      <c r="O53" s="95">
        <f ca="1">IF('SVS UnterhaltsRG'!H61="",0,'SVS UnterhaltsRG'!H61)</f>
        <v>0</v>
      </c>
      <c r="P53" s="95">
        <f t="shared" si="2"/>
        <v>0</v>
      </c>
      <c r="Q53" s="95">
        <f t="shared" si="3"/>
        <v>0</v>
      </c>
      <c r="R53" s="95">
        <f t="shared" si="4"/>
        <v>0</v>
      </c>
      <c r="S53" s="95">
        <f t="shared" si="5"/>
        <v>0</v>
      </c>
      <c r="T53" s="3" t="str">
        <f t="shared" si="6"/>
        <v/>
      </c>
      <c r="U53" s="3">
        <f t="shared" si="7"/>
        <v>0</v>
      </c>
    </row>
    <row r="54" spans="1:21" ht="15" customHeight="1" x14ac:dyDescent="0.2">
      <c r="A54" s="153">
        <v>33</v>
      </c>
      <c r="B54" s="165" t="s">
        <v>459</v>
      </c>
      <c r="C54" s="166" t="s">
        <v>276</v>
      </c>
      <c r="D54" s="166"/>
      <c r="E54" s="166" t="s">
        <v>460</v>
      </c>
      <c r="F54" s="166" t="s">
        <v>293</v>
      </c>
      <c r="G54" s="167">
        <v>26.2</v>
      </c>
      <c r="H54" s="167"/>
      <c r="I54" s="167"/>
      <c r="J54" s="153" t="s">
        <v>314</v>
      </c>
      <c r="K54" s="167">
        <v>5</v>
      </c>
      <c r="L54" s="95">
        <f>VLOOKUP(K54,Reinigungstage!A10:E31,5,FALSE)</f>
        <v>253.33</v>
      </c>
      <c r="M54" s="95">
        <f t="shared" si="0"/>
        <v>6637.25</v>
      </c>
      <c r="N54" s="168">
        <f t="shared" si="1"/>
        <v>0</v>
      </c>
      <c r="O54" s="95">
        <f ca="1">IF('SVS UnterhaltsRG'!H61="",0,'SVS UnterhaltsRG'!H61)</f>
        <v>0</v>
      </c>
      <c r="P54" s="95">
        <f t="shared" si="2"/>
        <v>0</v>
      </c>
      <c r="Q54" s="95">
        <f t="shared" ca="1" si="3"/>
        <v>0</v>
      </c>
      <c r="R54" s="95">
        <f t="shared" si="4"/>
        <v>0</v>
      </c>
      <c r="S54" s="95">
        <f t="shared" ca="1" si="5"/>
        <v>0</v>
      </c>
      <c r="T54" s="3" t="str">
        <f t="shared" si="6"/>
        <v>Leistungswert eintragen</v>
      </c>
      <c r="U54" s="3">
        <f t="shared" si="7"/>
        <v>0</v>
      </c>
    </row>
    <row r="55" spans="1:21" ht="15" customHeight="1" x14ac:dyDescent="0.2">
      <c r="A55" s="153">
        <v>34</v>
      </c>
      <c r="B55" s="165" t="s">
        <v>461</v>
      </c>
      <c r="C55" s="166" t="s">
        <v>276</v>
      </c>
      <c r="D55" s="166"/>
      <c r="E55" s="166" t="s">
        <v>462</v>
      </c>
      <c r="F55" s="166" t="s">
        <v>427</v>
      </c>
      <c r="G55" s="167">
        <v>14.25</v>
      </c>
      <c r="H55" s="167"/>
      <c r="I55" s="167"/>
      <c r="J55" s="153" t="s">
        <v>312</v>
      </c>
      <c r="K55" s="167">
        <v>0</v>
      </c>
      <c r="L55" s="95">
        <f>VLOOKUP(K55,Reinigungstage!A10:E31,5,FALSE)</f>
        <v>0</v>
      </c>
      <c r="M55" s="95">
        <f t="shared" si="0"/>
        <v>0</v>
      </c>
      <c r="N55" s="168">
        <f t="shared" si="1"/>
        <v>0</v>
      </c>
      <c r="O55" s="95">
        <f ca="1">IF('SVS UnterhaltsRG'!H61="",0,'SVS UnterhaltsRG'!H61)</f>
        <v>0</v>
      </c>
      <c r="P55" s="95">
        <f t="shared" si="2"/>
        <v>0</v>
      </c>
      <c r="Q55" s="95">
        <f t="shared" si="3"/>
        <v>0</v>
      </c>
      <c r="R55" s="95">
        <f t="shared" si="4"/>
        <v>0</v>
      </c>
      <c r="S55" s="95">
        <f t="shared" si="5"/>
        <v>0</v>
      </c>
      <c r="T55" s="3" t="str">
        <f t="shared" si="6"/>
        <v/>
      </c>
      <c r="U55" s="3">
        <f t="shared" si="7"/>
        <v>0</v>
      </c>
    </row>
    <row r="56" spans="1:21" ht="15" customHeight="1" x14ac:dyDescent="0.2">
      <c r="A56" s="153">
        <v>35</v>
      </c>
      <c r="B56" s="165" t="s">
        <v>463</v>
      </c>
      <c r="C56" s="166" t="s">
        <v>276</v>
      </c>
      <c r="D56" s="166"/>
      <c r="E56" s="166" t="s">
        <v>464</v>
      </c>
      <c r="F56" s="166" t="s">
        <v>427</v>
      </c>
      <c r="G56" s="167">
        <v>8.7899999999999991</v>
      </c>
      <c r="H56" s="167"/>
      <c r="I56" s="167"/>
      <c r="J56" s="153" t="s">
        <v>312</v>
      </c>
      <c r="K56" s="167">
        <v>0</v>
      </c>
      <c r="L56" s="95">
        <f>VLOOKUP(K56,Reinigungstage!A10:E31,5,FALSE)</f>
        <v>0</v>
      </c>
      <c r="M56" s="95">
        <f t="shared" si="0"/>
        <v>0</v>
      </c>
      <c r="N56" s="168">
        <f t="shared" si="1"/>
        <v>0</v>
      </c>
      <c r="O56" s="95">
        <f ca="1">IF('SVS UnterhaltsRG'!H61="",0,'SVS UnterhaltsRG'!H61)</f>
        <v>0</v>
      </c>
      <c r="P56" s="95">
        <f t="shared" si="2"/>
        <v>0</v>
      </c>
      <c r="Q56" s="95">
        <f t="shared" si="3"/>
        <v>0</v>
      </c>
      <c r="R56" s="95">
        <f t="shared" si="4"/>
        <v>0</v>
      </c>
      <c r="S56" s="95">
        <f t="shared" si="5"/>
        <v>0</v>
      </c>
      <c r="T56" s="3" t="str">
        <f t="shared" si="6"/>
        <v/>
      </c>
      <c r="U56" s="3">
        <f t="shared" si="7"/>
        <v>0</v>
      </c>
    </row>
    <row r="57" spans="1:21" ht="15" customHeight="1" x14ac:dyDescent="0.2">
      <c r="A57" s="153">
        <v>36</v>
      </c>
      <c r="B57" s="165" t="s">
        <v>465</v>
      </c>
      <c r="C57" s="166" t="s">
        <v>276</v>
      </c>
      <c r="D57" s="166"/>
      <c r="E57" s="166" t="s">
        <v>466</v>
      </c>
      <c r="F57" s="166" t="s">
        <v>427</v>
      </c>
      <c r="G57" s="167">
        <v>17.579999999999998</v>
      </c>
      <c r="H57" s="167"/>
      <c r="I57" s="167"/>
      <c r="J57" s="153" t="s">
        <v>312</v>
      </c>
      <c r="K57" s="167">
        <v>0</v>
      </c>
      <c r="L57" s="95">
        <f>VLOOKUP(K57,Reinigungstage!A10:E31,5,FALSE)</f>
        <v>0</v>
      </c>
      <c r="M57" s="95">
        <f t="shared" si="0"/>
        <v>0</v>
      </c>
      <c r="N57" s="168">
        <f t="shared" si="1"/>
        <v>0</v>
      </c>
      <c r="O57" s="95">
        <f ca="1">IF('SVS UnterhaltsRG'!H61="",0,'SVS UnterhaltsRG'!H61)</f>
        <v>0</v>
      </c>
      <c r="P57" s="95">
        <f t="shared" si="2"/>
        <v>0</v>
      </c>
      <c r="Q57" s="95">
        <f t="shared" si="3"/>
        <v>0</v>
      </c>
      <c r="R57" s="95">
        <f t="shared" si="4"/>
        <v>0</v>
      </c>
      <c r="S57" s="95">
        <f t="shared" si="5"/>
        <v>0</v>
      </c>
      <c r="T57" s="3" t="str">
        <f t="shared" si="6"/>
        <v/>
      </c>
      <c r="U57" s="3">
        <f t="shared" si="7"/>
        <v>0</v>
      </c>
    </row>
    <row r="58" spans="1:21" ht="15" customHeight="1" x14ac:dyDescent="0.2">
      <c r="A58" s="153">
        <v>37</v>
      </c>
      <c r="B58" s="165" t="s">
        <v>467</v>
      </c>
      <c r="C58" s="166" t="s">
        <v>276</v>
      </c>
      <c r="D58" s="166"/>
      <c r="E58" s="166" t="s">
        <v>468</v>
      </c>
      <c r="F58" s="166" t="s">
        <v>469</v>
      </c>
      <c r="G58" s="167">
        <v>13.06</v>
      </c>
      <c r="H58" s="167"/>
      <c r="I58" s="167"/>
      <c r="J58" s="153" t="s">
        <v>310</v>
      </c>
      <c r="K58" s="167">
        <v>5</v>
      </c>
      <c r="L58" s="95">
        <f>VLOOKUP(K58,Reinigungstage!A10:E31,5,FALSE)</f>
        <v>253.33</v>
      </c>
      <c r="M58" s="95">
        <f t="shared" si="0"/>
        <v>3308.49</v>
      </c>
      <c r="N58" s="168">
        <f t="shared" si="1"/>
        <v>0</v>
      </c>
      <c r="O58" s="95">
        <f ca="1">IF('SVS UnterhaltsRG'!H61="",0,'SVS UnterhaltsRG'!H61)</f>
        <v>0</v>
      </c>
      <c r="P58" s="95">
        <f t="shared" si="2"/>
        <v>0</v>
      </c>
      <c r="Q58" s="95">
        <f t="shared" ca="1" si="3"/>
        <v>0</v>
      </c>
      <c r="R58" s="95">
        <f t="shared" si="4"/>
        <v>0</v>
      </c>
      <c r="S58" s="95">
        <f t="shared" ca="1" si="5"/>
        <v>0</v>
      </c>
      <c r="T58" s="3" t="str">
        <f t="shared" si="6"/>
        <v>Leistungswert eintragen</v>
      </c>
      <c r="U58" s="3">
        <f t="shared" si="7"/>
        <v>0</v>
      </c>
    </row>
    <row r="59" spans="1:21" ht="15" customHeight="1" x14ac:dyDescent="0.2">
      <c r="A59" s="153">
        <v>38</v>
      </c>
      <c r="B59" s="165" t="s">
        <v>470</v>
      </c>
      <c r="C59" s="166" t="s">
        <v>471</v>
      </c>
      <c r="D59" s="166"/>
      <c r="E59" s="166" t="s">
        <v>468</v>
      </c>
      <c r="F59" s="166" t="s">
        <v>469</v>
      </c>
      <c r="G59" s="167">
        <v>13.06</v>
      </c>
      <c r="H59" s="167"/>
      <c r="I59" s="167"/>
      <c r="J59" s="153" t="s">
        <v>310</v>
      </c>
      <c r="K59" s="167">
        <v>5</v>
      </c>
      <c r="L59" s="95">
        <f>VLOOKUP(K59,Reinigungstage!A10:E31,5,FALSE)</f>
        <v>253.33</v>
      </c>
      <c r="M59" s="95">
        <f t="shared" si="0"/>
        <v>3308.49</v>
      </c>
      <c r="N59" s="168">
        <f t="shared" si="1"/>
        <v>0</v>
      </c>
      <c r="O59" s="95">
        <f ca="1">IF('SVS UnterhaltsRG'!H61="",0,'SVS UnterhaltsRG'!H61)</f>
        <v>0</v>
      </c>
      <c r="P59" s="95">
        <f t="shared" si="2"/>
        <v>0</v>
      </c>
      <c r="Q59" s="95">
        <f t="shared" ca="1" si="3"/>
        <v>0</v>
      </c>
      <c r="R59" s="95">
        <f t="shared" si="4"/>
        <v>0</v>
      </c>
      <c r="S59" s="95">
        <f t="shared" ca="1" si="5"/>
        <v>0</v>
      </c>
      <c r="T59" s="3" t="str">
        <f t="shared" si="6"/>
        <v>Leistungswert eintragen</v>
      </c>
      <c r="U59" s="3">
        <f t="shared" si="7"/>
        <v>0</v>
      </c>
    </row>
    <row r="60" spans="1:21" ht="15" customHeight="1" x14ac:dyDescent="0.2">
      <c r="A60" s="153">
        <v>39</v>
      </c>
      <c r="B60" s="165" t="s">
        <v>472</v>
      </c>
      <c r="C60" s="166" t="s">
        <v>471</v>
      </c>
      <c r="D60" s="166"/>
      <c r="E60" s="166" t="s">
        <v>473</v>
      </c>
      <c r="F60" s="166" t="s">
        <v>427</v>
      </c>
      <c r="G60" s="167">
        <v>93.17</v>
      </c>
      <c r="H60" s="167"/>
      <c r="I60" s="167"/>
      <c r="J60" s="153" t="s">
        <v>312</v>
      </c>
      <c r="K60" s="167">
        <v>0</v>
      </c>
      <c r="L60" s="95">
        <f>VLOOKUP(K60,Reinigungstage!A10:E31,5,FALSE)</f>
        <v>0</v>
      </c>
      <c r="M60" s="95">
        <f t="shared" si="0"/>
        <v>0</v>
      </c>
      <c r="N60" s="168">
        <f t="shared" si="1"/>
        <v>0</v>
      </c>
      <c r="O60" s="95">
        <f ca="1">IF('SVS UnterhaltsRG'!H61="",0,'SVS UnterhaltsRG'!H61)</f>
        <v>0</v>
      </c>
      <c r="P60" s="95">
        <f t="shared" si="2"/>
        <v>0</v>
      </c>
      <c r="Q60" s="95">
        <f t="shared" si="3"/>
        <v>0</v>
      </c>
      <c r="R60" s="95">
        <f t="shared" si="4"/>
        <v>0</v>
      </c>
      <c r="S60" s="95">
        <f t="shared" si="5"/>
        <v>0</v>
      </c>
      <c r="T60" s="3" t="str">
        <f t="shared" si="6"/>
        <v/>
      </c>
      <c r="U60" s="3">
        <f t="shared" si="7"/>
        <v>0</v>
      </c>
    </row>
    <row r="61" spans="1:21" ht="15" customHeight="1" x14ac:dyDescent="0.2">
      <c r="A61" s="153">
        <v>40</v>
      </c>
      <c r="B61" s="165" t="s">
        <v>474</v>
      </c>
      <c r="C61" s="166" t="s">
        <v>475</v>
      </c>
      <c r="D61" s="166"/>
      <c r="E61" s="166" t="s">
        <v>462</v>
      </c>
      <c r="F61" s="166" t="s">
        <v>303</v>
      </c>
      <c r="G61" s="167">
        <v>49.66</v>
      </c>
      <c r="H61" s="167"/>
      <c r="I61" s="167"/>
      <c r="J61" s="153" t="s">
        <v>312</v>
      </c>
      <c r="K61" s="167">
        <v>0</v>
      </c>
      <c r="L61" s="95">
        <f>VLOOKUP(K61,Reinigungstage!A10:E31,5,FALSE)</f>
        <v>0</v>
      </c>
      <c r="M61" s="95">
        <f t="shared" si="0"/>
        <v>0</v>
      </c>
      <c r="N61" s="168">
        <f t="shared" si="1"/>
        <v>0</v>
      </c>
      <c r="O61" s="95">
        <f ca="1">IF('SVS UnterhaltsRG'!H61="",0,'SVS UnterhaltsRG'!H61)</f>
        <v>0</v>
      </c>
      <c r="P61" s="95">
        <f t="shared" si="2"/>
        <v>0</v>
      </c>
      <c r="Q61" s="95">
        <f t="shared" si="3"/>
        <v>0</v>
      </c>
      <c r="R61" s="95">
        <f t="shared" si="4"/>
        <v>0</v>
      </c>
      <c r="S61" s="95">
        <f t="shared" si="5"/>
        <v>0</v>
      </c>
      <c r="T61" s="3" t="str">
        <f t="shared" si="6"/>
        <v/>
      </c>
      <c r="U61" s="3">
        <f t="shared" si="7"/>
        <v>0</v>
      </c>
    </row>
  </sheetData>
  <sheetProtection algorithmName="SHA-512" hashValue="msoQfu8au7BONgkVCYpm3+7teIva3O31f9tGCOA8/pMRkHl6fmhm3fA5FzvZc1oA3aSgJHXFsZ1QKtid3vjuoQ==" saltValue="krRQVAHivrnf7MNtEEjR7g==" spinCount="100000" sheet="1" objects="1" scenarios="1"/>
  <sortState xmlns:xlrd2="http://schemas.microsoft.com/office/spreadsheetml/2017/richdata2" ref="U4:U9">
    <sortCondition ref="U4"/>
  </sortState>
  <mergeCells count="16">
    <mergeCell ref="B13:E13"/>
    <mergeCell ref="B4:E5"/>
    <mergeCell ref="B6:E6"/>
    <mergeCell ref="B7:E7"/>
    <mergeCell ref="B8:E8"/>
    <mergeCell ref="B9:E9"/>
    <mergeCell ref="B10:E10"/>
    <mergeCell ref="B11:E11"/>
    <mergeCell ref="B12:E12"/>
    <mergeCell ref="N2:Q5"/>
    <mergeCell ref="A4:A5"/>
    <mergeCell ref="A2:E2"/>
    <mergeCell ref="G2:G3"/>
    <mergeCell ref="H2:H3"/>
    <mergeCell ref="I2:I3"/>
    <mergeCell ref="J2:J3"/>
  </mergeCells>
  <conditionalFormatting sqref="T22:T61">
    <cfRule type="containsText" dxfId="135" priority="1" stopIfTrue="1" operator="containsText" text="SVS prüfen">
      <formula>NOT(ISERROR(SEARCH("SVS prüfen",T22)))</formula>
    </cfRule>
    <cfRule type="containsText" dxfId="134" priority="2" stopIfTrue="1" operator="containsText" text="Leistungswert eintragen">
      <formula>NOT(ISERROR(SEARCH("Leistungswert eintragen",T22)))</formula>
    </cfRule>
  </conditionalFormatting>
  <hyperlinks>
    <hyperlink ref="M1" location="Inhaltsverzeichnis!A1" display="Zurück zum Inhaltsverzeichnis" xr:uid="{2DC34F9B-3190-43E9-BC29-B18649BA51E9}"/>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&amp;RKal Unter Lehrschwimmbad&amp;LStadt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sizeWithCells="1">
                  <from>
                    <xdr:col>12</xdr:col>
                    <xdr:colOff>19050</xdr:colOff>
                    <xdr:row>1</xdr:row>
                    <xdr:rowOff>38100</xdr:rowOff>
                  </from>
                  <to>
                    <xdr:col>12</xdr:col>
                    <xdr:colOff>809625</xdr:colOff>
                    <xdr:row>2</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ltText="Hinweis 2">
                <anchor moveWithCells="1" sizeWithCells="1">
                  <from>
                    <xdr:col>12</xdr:col>
                    <xdr:colOff>19050</xdr:colOff>
                    <xdr:row>2</xdr:row>
                    <xdr:rowOff>19050</xdr:rowOff>
                  </from>
                  <to>
                    <xdr:col>12</xdr:col>
                    <xdr:colOff>809625</xdr:colOff>
                    <xdr:row>2</xdr:row>
                    <xdr:rowOff>266700</xdr:rowOff>
                  </to>
                </anchor>
              </controlPr>
            </control>
          </mc:Choice>
        </mc:AlternateContent>
        <mc:AlternateContent xmlns:mc="http://schemas.openxmlformats.org/markup-compatibility/2006">
          <mc:Choice Requires="x14">
            <control shapeId="92163" r:id="rId6" name="Check Box 3">
              <controlPr defaultSize="0" autoFill="0" autoLine="0" autoPict="0" altText="Hinweis 3">
                <anchor moveWithCells="1" sizeWithCells="1">
                  <from>
                    <xdr:col>12</xdr:col>
                    <xdr:colOff>19050</xdr:colOff>
                    <xdr:row>3</xdr:row>
                    <xdr:rowOff>9525</xdr:rowOff>
                  </from>
                  <to>
                    <xdr:col>12</xdr:col>
                    <xdr:colOff>809625</xdr:colOff>
                    <xdr:row>4</xdr:row>
                    <xdr:rowOff>57150</xdr:rowOff>
                  </to>
                </anchor>
              </controlPr>
            </control>
          </mc:Choice>
        </mc:AlternateContent>
        <mc:AlternateContent xmlns:mc="http://schemas.openxmlformats.org/markup-compatibility/2006">
          <mc:Choice Requires="x14">
            <control shapeId="92164" r:id="rId7" name="Check Box 4">
              <controlPr defaultSize="0" autoFill="0" autoLine="0" autoPict="0" altText="Hinweis 3">
                <anchor moveWithCells="1" sizeWithCells="1">
                  <from>
                    <xdr:col>12</xdr:col>
                    <xdr:colOff>19050</xdr:colOff>
                    <xdr:row>4</xdr:row>
                    <xdr:rowOff>66675</xdr:rowOff>
                  </from>
                  <to>
                    <xdr:col>12</xdr:col>
                    <xdr:colOff>809625</xdr:colOff>
                    <xdr:row>5</xdr:row>
                    <xdr:rowOff>123825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709E-0434-41C3-BAEE-E0CCF1D11E71}">
  <sheetPr codeName="Tabelle45">
    <tabColor indexed="40"/>
  </sheetPr>
  <dimension ref="A1:X46"/>
  <sheetViews>
    <sheetView showGridLines="0" zoomScaleNormal="100" workbookViewId="0">
      <pane ySplit="21" topLeftCell="A22" activePane="bottomLeft" state="frozen"/>
      <selection pane="bottomLeft"/>
    </sheetView>
  </sheetViews>
  <sheetFormatPr baseColWidth="10" defaultColWidth="0" defaultRowHeight="15" customHeight="1" x14ac:dyDescent="0.2"/>
  <cols>
    <col min="1" max="1" width="11.7109375" style="3" customWidth="1"/>
    <col min="2" max="2" width="8.140625" style="3" customWidth="1"/>
    <col min="3" max="3" width="5.7109375" style="3" customWidth="1"/>
    <col min="4" max="4" width="12.28515625" style="3" customWidth="1"/>
    <col min="5" max="5" width="21.7109375" style="3" customWidth="1"/>
    <col min="6" max="6" width="13.5703125" style="3" bestFit="1" customWidth="1"/>
    <col min="7" max="7" width="10.7109375" style="3" customWidth="1"/>
    <col min="8" max="8" width="9.7109375" style="3" customWidth="1"/>
    <col min="9" max="9" width="11.7109375" style="3" customWidth="1"/>
    <col min="10" max="10" width="10.5703125" style="3" bestFit="1" customWidth="1"/>
    <col min="11" max="11" width="7.85546875" style="3" customWidth="1"/>
    <col min="12" max="12" width="8.7109375" style="3" customWidth="1"/>
    <col min="13" max="13" width="11.42578125" style="3" customWidth="1"/>
    <col min="14" max="14" width="9.42578125" style="3" customWidth="1"/>
    <col min="15" max="15" width="8.42578125" style="3" customWidth="1"/>
    <col min="16" max="17" width="11.42578125" style="3" customWidth="1"/>
    <col min="18" max="18" width="10.5703125" style="3" customWidth="1"/>
    <col min="19" max="19" width="25.5703125" style="3" customWidth="1"/>
    <col min="20" max="16384" width="6.42578125" style="3" hidden="1"/>
  </cols>
  <sheetData>
    <row r="1" spans="1:22" ht="15" customHeight="1" x14ac:dyDescent="0.2">
      <c r="M1" s="5" t="s">
        <v>100</v>
      </c>
    </row>
    <row r="2" spans="1:22" ht="20.45" customHeight="1" x14ac:dyDescent="0.2">
      <c r="A2" s="217" t="s">
        <v>177</v>
      </c>
      <c r="B2" s="218"/>
      <c r="C2" s="218"/>
      <c r="D2" s="218"/>
      <c r="E2" s="219"/>
      <c r="G2" s="220" t="s">
        <v>190</v>
      </c>
      <c r="H2" s="220" t="s">
        <v>182</v>
      </c>
      <c r="I2" s="220" t="s">
        <v>183</v>
      </c>
      <c r="J2" s="220" t="s">
        <v>202</v>
      </c>
      <c r="M2" s="141" t="b">
        <v>0</v>
      </c>
      <c r="N2" s="192" t="str">
        <f>IF(M2=TRUE,"Bitte tragen Sie Ihre Leistungswerte in die gelben Zellen direkt unter der Zelle Leistungswerte (m²/h) ein. Die Leistungswerte werden automatisch in die untere Kalkulation übernommen. Die linke Tabelle ist lediglich eine Ausfüllhilfe.",IF(M3=TRUE,"Wenn eine Jahresreinigungsfläche für eine Reinigungsgruppe mit 0 angegeben ist, brauchen Sie den Leistungswert nicht auszufüllen. Es schadet aber nichts, wenn Sie es trotzdem tun.",IF(M4=TRUE,"Sie können in der Kalkulationstabelle (unten) in jedem einzelnen Raum die Leistungswerte (gelbe Zellen) beliebig oft individuell anpassen. Mit dem individuellen Überschreiben wird die Verknüpfung zu den Leistungswerten in der obigen Tabelle aufgehoben.",IF( M5=TRUE,"Die rot markierten Informationen sind auch lediglich eine Unterstützung. Sie erscheinen, wenn gelbe Zellen in dieser Tabelle oder in den Stundenverrechnungssätzen (SVS) nicht ausgefüllt sind. Wenn keine rote Schrift mehr da ist, ist alles vollständig.",""))))</f>
        <v/>
      </c>
      <c r="O2" s="192"/>
      <c r="P2" s="192"/>
      <c r="Q2" s="192"/>
    </row>
    <row r="3" spans="1:22" ht="24" customHeight="1" x14ac:dyDescent="0.2">
      <c r="A3" s="154" t="s">
        <v>185</v>
      </c>
      <c r="B3" s="155"/>
      <c r="C3" s="155"/>
      <c r="D3" s="155"/>
      <c r="E3" s="156"/>
      <c r="G3" s="221"/>
      <c r="H3" s="221"/>
      <c r="I3" s="221"/>
      <c r="J3" s="221"/>
      <c r="M3" s="141" t="b">
        <v>0</v>
      </c>
      <c r="N3" s="192"/>
      <c r="O3" s="192"/>
      <c r="P3" s="192"/>
      <c r="Q3" s="192"/>
    </row>
    <row r="4" spans="1:22" ht="18.600000000000001" customHeight="1" x14ac:dyDescent="0.2">
      <c r="A4" s="215" t="s">
        <v>91</v>
      </c>
      <c r="B4" s="225" t="str">
        <f>IF(Inhaltsverzeichnis!C3="","",Inhaltsverzeichnis!C3)</f>
        <v/>
      </c>
      <c r="C4" s="226"/>
      <c r="D4" s="226"/>
      <c r="E4" s="227"/>
      <c r="G4" s="153" t="s">
        <v>402</v>
      </c>
      <c r="H4" s="157"/>
      <c r="I4" s="158">
        <f ca="1">SUMIF('Kal Grund Lehrschwimmbad'!J22:M46,$G$4,'Kal Grund Lehrschwimmbad'!M22:M46)</f>
        <v>52.739999999999995</v>
      </c>
      <c r="J4" s="118">
        <f>COUNTIFS('Kal Grund Lehrschwimmbad'!J22:M46,$G$4)</f>
        <v>2</v>
      </c>
      <c r="M4" s="141" t="b">
        <v>0</v>
      </c>
      <c r="N4" s="192"/>
      <c r="O4" s="192"/>
      <c r="P4" s="192"/>
      <c r="Q4" s="192"/>
      <c r="U4" s="153" t="s">
        <v>402</v>
      </c>
      <c r="V4" s="3">
        <v>17.5</v>
      </c>
    </row>
    <row r="5" spans="1:22" ht="15" customHeight="1" x14ac:dyDescent="0.2">
      <c r="A5" s="216"/>
      <c r="B5" s="228"/>
      <c r="C5" s="229"/>
      <c r="D5" s="229"/>
      <c r="E5" s="230"/>
      <c r="G5" s="153" t="s">
        <v>314</v>
      </c>
      <c r="H5" s="157"/>
      <c r="I5" s="158">
        <f ca="1">SUMIF('Kal Grund Lehrschwimmbad'!J22:M46,$G$5,'Kal Grund Lehrschwimmbad'!M22:M46)</f>
        <v>613.8900000000001</v>
      </c>
      <c r="J5" s="118">
        <f>COUNTIFS('Kal Grund Lehrschwimmbad'!J22:M46,$G$5)</f>
        <v>10</v>
      </c>
      <c r="M5" s="141" t="b">
        <v>0</v>
      </c>
      <c r="N5" s="192"/>
      <c r="O5" s="192"/>
      <c r="P5" s="192"/>
      <c r="Q5" s="192"/>
      <c r="U5" s="153" t="s">
        <v>314</v>
      </c>
      <c r="V5" s="3">
        <v>10</v>
      </c>
    </row>
    <row r="6" spans="1:22" ht="15" customHeight="1" x14ac:dyDescent="0.2">
      <c r="A6" s="159" t="s">
        <v>200</v>
      </c>
      <c r="B6" s="231" t="s">
        <v>245</v>
      </c>
      <c r="C6" s="232"/>
      <c r="D6" s="232"/>
      <c r="E6" s="233"/>
      <c r="G6" s="153" t="s">
        <v>310</v>
      </c>
      <c r="H6" s="157"/>
      <c r="I6" s="158">
        <f ca="1">SUMIF('Kal Grund Lehrschwimmbad'!J22:M46,$G$6,'Kal Grund Lehrschwimmbad'!M22:M46)</f>
        <v>26.12</v>
      </c>
      <c r="J6" s="118">
        <f>COUNTIFS('Kal Grund Lehrschwimmbad'!J22:M46,$G$6)</f>
        <v>2</v>
      </c>
      <c r="U6" s="153" t="s">
        <v>312</v>
      </c>
      <c r="V6" s="3">
        <v>21.5</v>
      </c>
    </row>
    <row r="7" spans="1:22" ht="15" customHeight="1" x14ac:dyDescent="0.2">
      <c r="A7" s="160" t="s">
        <v>198</v>
      </c>
      <c r="B7" s="234" t="s">
        <v>254</v>
      </c>
      <c r="C7" s="232"/>
      <c r="D7" s="232"/>
      <c r="E7" s="233"/>
      <c r="G7" s="153" t="s">
        <v>291</v>
      </c>
      <c r="H7" s="157"/>
      <c r="I7" s="158">
        <f ca="1">SUMIF('Kal Grund Lehrschwimmbad'!J22:M46,$G$7,'Kal Grund Lehrschwimmbad'!M22:M46)</f>
        <v>126.47</v>
      </c>
      <c r="J7" s="118">
        <f>COUNTIFS('Kal Grund Lehrschwimmbad'!J22:M46,$G$7)</f>
        <v>6</v>
      </c>
      <c r="U7" s="153" t="s">
        <v>310</v>
      </c>
      <c r="V7" s="3">
        <v>15</v>
      </c>
    </row>
    <row r="8" spans="1:22" ht="15" customHeight="1" x14ac:dyDescent="0.2">
      <c r="A8" s="160" t="s">
        <v>199</v>
      </c>
      <c r="B8" s="231"/>
      <c r="C8" s="232"/>
      <c r="D8" s="232"/>
      <c r="E8" s="233"/>
      <c r="G8" s="153" t="s">
        <v>313</v>
      </c>
      <c r="H8" s="157"/>
      <c r="I8" s="158">
        <f ca="1">SUMIF('Kal Grund Lehrschwimmbad'!J22:M46,$G$8,'Kal Grund Lehrschwimmbad'!M22:M46)</f>
        <v>124.46000000000001</v>
      </c>
      <c r="J8" s="118">
        <f>COUNTIFS('Kal Grund Lehrschwimmbad'!J22:M46,$G$8)</f>
        <v>5</v>
      </c>
      <c r="L8" s="169" t="str">
        <f>IF(N14&gt;0,"Ihre Eintragungen der Leistungswerte liegen weit über den Erfahrungswerten aus der Preisschätzung.","")</f>
        <v/>
      </c>
      <c r="U8" s="153" t="s">
        <v>291</v>
      </c>
      <c r="V8" s="3">
        <v>15</v>
      </c>
    </row>
    <row r="9" spans="1:22" ht="15" customHeight="1" x14ac:dyDescent="0.2">
      <c r="A9" s="159" t="s">
        <v>197</v>
      </c>
      <c r="B9" s="235" t="s">
        <v>254</v>
      </c>
      <c r="C9" s="232"/>
      <c r="D9" s="232"/>
      <c r="E9" s="233"/>
      <c r="L9" s="169" t="str">
        <f>IF(N14&gt;0,"Bitte prüfen Sie diese.","")</f>
        <v/>
      </c>
      <c r="U9" s="153" t="s">
        <v>313</v>
      </c>
      <c r="V9" s="3">
        <v>24.5</v>
      </c>
    </row>
    <row r="10" spans="1:22" ht="15" customHeight="1" x14ac:dyDescent="0.2">
      <c r="A10" s="160" t="s">
        <v>179</v>
      </c>
      <c r="B10" s="231" t="s">
        <v>255</v>
      </c>
      <c r="C10" s="232"/>
      <c r="D10" s="232"/>
      <c r="E10" s="233"/>
      <c r="L10" s="169" t="str">
        <f>IF(N14&gt;0,"Beachten Sie, dass Sie frei in der Kalkulation dieser Leistungswerte sind und wir durch den Hinweis","")</f>
        <v/>
      </c>
    </row>
    <row r="11" spans="1:22" ht="15" customHeight="1" x14ac:dyDescent="0.2">
      <c r="A11" s="160" t="s">
        <v>180</v>
      </c>
      <c r="B11" s="236" t="s">
        <v>248</v>
      </c>
      <c r="C11" s="232"/>
      <c r="D11" s="232"/>
      <c r="E11" s="233"/>
      <c r="L11" s="169" t="str">
        <f>IF(N14&gt;0,"lediglich Fehleingaben vermeiden wollen.","")</f>
        <v/>
      </c>
    </row>
    <row r="12" spans="1:22" ht="15" customHeight="1" x14ac:dyDescent="0.2">
      <c r="A12" s="160" t="s">
        <v>181</v>
      </c>
      <c r="B12" s="231" t="s">
        <v>249</v>
      </c>
      <c r="C12" s="232"/>
      <c r="D12" s="232"/>
      <c r="E12" s="233"/>
    </row>
    <row r="13" spans="1:22" ht="15" customHeight="1" x14ac:dyDescent="0.2">
      <c r="A13" s="160" t="s">
        <v>184</v>
      </c>
      <c r="B13" s="222" t="str">
        <f>HYPERLINK("http://maps.google.de/maps?hl=de&amp;bav=on.2,or.r_qf.&amp;bvm=bv.44770516,d.Yms&amp;biw=1395&amp;bih=916&amp;um=1&amp;ie=UTF-8&amp;q="&amp;B7&amp;"+"&amp;B8&amp;"+"&amp;B10&amp;"+"&amp;B11&amp;"+"&amp;B12&amp;"","In Google-Maps anzeigen (wenn Internet verfügbar)")</f>
        <v>In Google-Maps anzeigen (wenn Internet verfügbar)</v>
      </c>
      <c r="C13" s="223"/>
      <c r="D13" s="223"/>
      <c r="E13" s="224"/>
    </row>
    <row r="14" spans="1:22" ht="15" customHeight="1" x14ac:dyDescent="0.2">
      <c r="N14" s="170">
        <f>COUNTIF(X22:X$46,1)</f>
        <v>0</v>
      </c>
      <c r="O14" s="3" t="str">
        <f>IF(N14&gt;0,"Wert(e) prüfen.","")</f>
        <v/>
      </c>
      <c r="S14" s="161">
        <f>IF(COUNTA($S$22:$S$46)-COUNTBLANK($S$22:$S$46)=0,"",COUNTA($S$22:$S$46)-COUNTBLANK($S$22:$S$46))</f>
        <v>25</v>
      </c>
    </row>
    <row r="15" spans="1:22" ht="15" hidden="1" customHeight="1" x14ac:dyDescent="0.2"/>
    <row r="16" spans="1:22" ht="15" hidden="1" customHeight="1" x14ac:dyDescent="0.2"/>
    <row r="17" spans="1:24" ht="15" hidden="1" customHeight="1" x14ac:dyDescent="0.2"/>
    <row r="18" spans="1:24" ht="15" hidden="1" customHeight="1" x14ac:dyDescent="0.2"/>
    <row r="19" spans="1:24" ht="15" hidden="1" customHeight="1" x14ac:dyDescent="0.2"/>
    <row r="20" spans="1:24" ht="45" customHeight="1" x14ac:dyDescent="0.2">
      <c r="A20" s="1" t="s">
        <v>92</v>
      </c>
      <c r="B20" s="1" t="s">
        <v>97</v>
      </c>
      <c r="C20" s="1" t="s">
        <v>93</v>
      </c>
      <c r="D20" s="1" t="s">
        <v>94</v>
      </c>
      <c r="E20" s="1" t="s">
        <v>98</v>
      </c>
      <c r="F20" s="1" t="s">
        <v>95</v>
      </c>
      <c r="G20" s="1" t="s">
        <v>121</v>
      </c>
      <c r="H20" s="1" t="s">
        <v>108</v>
      </c>
      <c r="I20" s="1" t="s">
        <v>109</v>
      </c>
      <c r="J20" s="1" t="s">
        <v>99</v>
      </c>
      <c r="K20" s="1" t="s">
        <v>106</v>
      </c>
      <c r="L20" s="1" t="s">
        <v>110</v>
      </c>
      <c r="M20" s="1" t="s">
        <v>111</v>
      </c>
      <c r="N20" s="1" t="s">
        <v>107</v>
      </c>
      <c r="O20" s="1" t="s">
        <v>112</v>
      </c>
      <c r="P20" s="1" t="s">
        <v>113</v>
      </c>
      <c r="Q20" s="1" t="s">
        <v>114</v>
      </c>
      <c r="R20" s="1" t="s">
        <v>140</v>
      </c>
    </row>
    <row r="21" spans="1:24" ht="29.1" customHeight="1" x14ac:dyDescent="0.2">
      <c r="A21" s="162" t="s">
        <v>125</v>
      </c>
      <c r="B21" s="14"/>
      <c r="C21" s="14"/>
      <c r="D21" s="14"/>
      <c r="E21" s="14"/>
      <c r="F21" s="14"/>
      <c r="G21" s="163">
        <f>SUM($G$22:$G$46)</f>
        <v>943.68</v>
      </c>
      <c r="H21" s="163">
        <f>SUM($H$22:$H$46)</f>
        <v>0</v>
      </c>
      <c r="I21" s="163">
        <f>SUM($I$22:$I$46)</f>
        <v>0</v>
      </c>
      <c r="J21" s="95"/>
      <c r="K21" s="95"/>
      <c r="L21" s="164">
        <f>MAX(L22:L46)</f>
        <v>1</v>
      </c>
      <c r="M21" s="163">
        <f>SUM($M$22:$M$46)</f>
        <v>943.68</v>
      </c>
      <c r="N21" s="95"/>
      <c r="O21" s="95"/>
      <c r="P21" s="163">
        <f>SUM($P$22:$P$46)</f>
        <v>0</v>
      </c>
      <c r="Q21" s="163">
        <f>SUM($Q$22:$Q$46)</f>
        <v>0</v>
      </c>
      <c r="R21" s="163">
        <f>ROUND(IF(Q21=0,0,Q21/L21),2)</f>
        <v>0</v>
      </c>
    </row>
    <row r="22" spans="1:24" ht="15" customHeight="1" x14ac:dyDescent="0.2">
      <c r="A22" s="153">
        <v>1</v>
      </c>
      <c r="B22" s="165" t="s">
        <v>409</v>
      </c>
      <c r="C22" s="166" t="s">
        <v>276</v>
      </c>
      <c r="D22" s="166"/>
      <c r="E22" s="166" t="s">
        <v>410</v>
      </c>
      <c r="F22" s="166" t="s">
        <v>293</v>
      </c>
      <c r="G22" s="167">
        <v>8.51</v>
      </c>
      <c r="H22" s="167"/>
      <c r="I22" s="167"/>
      <c r="J22" s="153" t="s">
        <v>313</v>
      </c>
      <c r="K22" s="153" t="s">
        <v>168</v>
      </c>
      <c r="L22" s="95">
        <f>VLOOKUP(K22,Reinigungstage!A10:Q31,17,FALSE)</f>
        <v>1</v>
      </c>
      <c r="M22" s="95">
        <f t="shared" ref="M22:M46" si="0">ROUND(IF(L22=0,0,L22*G22),2)</f>
        <v>8.51</v>
      </c>
      <c r="N22" s="168">
        <f t="shared" ref="N22:N46" si="1">VLOOKUP(J22,$G$4:$H$8,2,FALSE)</f>
        <v>0</v>
      </c>
      <c r="O22" s="95">
        <f ca="1">IF('SVS GrundRG'!H61="",0,'SVS GrundRG'!H61)</f>
        <v>0</v>
      </c>
      <c r="P22" s="95">
        <f t="shared" ref="P22:P46" si="2">ROUND(IF(N22=0,0,M22/N22),2)</f>
        <v>0</v>
      </c>
      <c r="Q22" s="95">
        <f t="shared" ref="Q22:Q46" si="3">ROUND(IF(P22=0,0,P22*O22),2)</f>
        <v>0</v>
      </c>
      <c r="R22" s="95">
        <f t="shared" ref="R22:R46" si="4">ROUND(IF(P22=0,0,Q22/L22),2)</f>
        <v>0</v>
      </c>
      <c r="S22" s="3" t="str">
        <f t="shared" ref="S22:S46" si="5">IF(M22=0,"",IF(N22=0,"Leistungswert eintragen",IF(O22=0,"SVS prüfen","")))</f>
        <v>Leistungswert eintragen</v>
      </c>
      <c r="U22" s="3">
        <f t="shared" ref="U22:U46" si="6">VLOOKUP(J22,$U$4:$V$9,2,FALSE)</f>
        <v>24.5</v>
      </c>
      <c r="V22" s="3">
        <f t="shared" ref="V22:V46" si="7">U22*30%</f>
        <v>7.35</v>
      </c>
      <c r="W22" s="3">
        <f t="shared" ref="W22:W46" si="8">SUM(U22:V22)</f>
        <v>31.85</v>
      </c>
      <c r="X22" s="3" t="str">
        <f t="shared" ref="X22:X46" si="9">IF(N22=0,"",IF(W22&lt;N22,1,IF(W22&gt;=N22,0,"")))</f>
        <v/>
      </c>
    </row>
    <row r="23" spans="1:24" ht="15" customHeight="1" x14ac:dyDescent="0.2">
      <c r="A23" s="153">
        <v>2</v>
      </c>
      <c r="B23" s="165" t="s">
        <v>411</v>
      </c>
      <c r="C23" s="166" t="s">
        <v>276</v>
      </c>
      <c r="D23" s="166"/>
      <c r="E23" s="166" t="s">
        <v>412</v>
      </c>
      <c r="F23" s="166" t="s">
        <v>293</v>
      </c>
      <c r="G23" s="167">
        <v>91.37</v>
      </c>
      <c r="H23" s="167"/>
      <c r="I23" s="167"/>
      <c r="J23" s="153" t="s">
        <v>313</v>
      </c>
      <c r="K23" s="153" t="s">
        <v>168</v>
      </c>
      <c r="L23" s="95">
        <f>VLOOKUP(K23,Reinigungstage!A10:Q31,17,FALSE)</f>
        <v>1</v>
      </c>
      <c r="M23" s="95">
        <f t="shared" si="0"/>
        <v>91.37</v>
      </c>
      <c r="N23" s="168">
        <f t="shared" si="1"/>
        <v>0</v>
      </c>
      <c r="O23" s="95">
        <f ca="1">IF('SVS GrundRG'!H61="",0,'SVS GrundRG'!H61)</f>
        <v>0</v>
      </c>
      <c r="P23" s="95">
        <f t="shared" si="2"/>
        <v>0</v>
      </c>
      <c r="Q23" s="95">
        <f t="shared" si="3"/>
        <v>0</v>
      </c>
      <c r="R23" s="95">
        <f t="shared" si="4"/>
        <v>0</v>
      </c>
      <c r="S23" s="3" t="str">
        <f t="shared" si="5"/>
        <v>Leistungswert eintragen</v>
      </c>
      <c r="U23" s="3">
        <f t="shared" si="6"/>
        <v>24.5</v>
      </c>
      <c r="V23" s="3">
        <f t="shared" si="7"/>
        <v>7.35</v>
      </c>
      <c r="W23" s="3">
        <f t="shared" si="8"/>
        <v>31.85</v>
      </c>
      <c r="X23" s="3" t="str">
        <f t="shared" si="9"/>
        <v/>
      </c>
    </row>
    <row r="24" spans="1:24" ht="15" customHeight="1" x14ac:dyDescent="0.2">
      <c r="A24" s="153">
        <v>3</v>
      </c>
      <c r="B24" s="165" t="s">
        <v>413</v>
      </c>
      <c r="C24" s="166" t="s">
        <v>276</v>
      </c>
      <c r="D24" s="166"/>
      <c r="E24" s="166" t="s">
        <v>414</v>
      </c>
      <c r="F24" s="166" t="s">
        <v>287</v>
      </c>
      <c r="G24" s="167">
        <v>12.41</v>
      </c>
      <c r="H24" s="167"/>
      <c r="I24" s="167"/>
      <c r="J24" s="153" t="s">
        <v>402</v>
      </c>
      <c r="K24" s="153" t="s">
        <v>168</v>
      </c>
      <c r="L24" s="95">
        <f>VLOOKUP(K24,Reinigungstage!A10:Q31,17,FALSE)</f>
        <v>1</v>
      </c>
      <c r="M24" s="95">
        <f t="shared" si="0"/>
        <v>12.41</v>
      </c>
      <c r="N24" s="168">
        <f t="shared" si="1"/>
        <v>0</v>
      </c>
      <c r="O24" s="95">
        <f ca="1">IF('SVS GrundRG'!H61="",0,'SVS GrundRG'!H61)</f>
        <v>0</v>
      </c>
      <c r="P24" s="95">
        <f t="shared" si="2"/>
        <v>0</v>
      </c>
      <c r="Q24" s="95">
        <f t="shared" si="3"/>
        <v>0</v>
      </c>
      <c r="R24" s="95">
        <f t="shared" si="4"/>
        <v>0</v>
      </c>
      <c r="S24" s="3" t="str">
        <f t="shared" si="5"/>
        <v>Leistungswert eintragen</v>
      </c>
      <c r="U24" s="3">
        <f t="shared" si="6"/>
        <v>17.5</v>
      </c>
      <c r="V24" s="3">
        <f t="shared" si="7"/>
        <v>5.25</v>
      </c>
      <c r="W24" s="3">
        <f t="shared" si="8"/>
        <v>22.75</v>
      </c>
      <c r="X24" s="3" t="str">
        <f t="shared" si="9"/>
        <v/>
      </c>
    </row>
    <row r="25" spans="1:24" ht="15" customHeight="1" x14ac:dyDescent="0.2">
      <c r="A25" s="153">
        <v>4</v>
      </c>
      <c r="B25" s="165" t="s">
        <v>411</v>
      </c>
      <c r="C25" s="166" t="s">
        <v>276</v>
      </c>
      <c r="D25" s="166"/>
      <c r="E25" s="166" t="s">
        <v>415</v>
      </c>
      <c r="F25" s="166" t="s">
        <v>287</v>
      </c>
      <c r="G25" s="167">
        <v>40.33</v>
      </c>
      <c r="H25" s="167"/>
      <c r="I25" s="167"/>
      <c r="J25" s="153" t="s">
        <v>402</v>
      </c>
      <c r="K25" s="153" t="s">
        <v>168</v>
      </c>
      <c r="L25" s="95">
        <f>VLOOKUP(K25,Reinigungstage!A10:Q31,17,FALSE)</f>
        <v>1</v>
      </c>
      <c r="M25" s="95">
        <f t="shared" si="0"/>
        <v>40.33</v>
      </c>
      <c r="N25" s="168">
        <f t="shared" si="1"/>
        <v>0</v>
      </c>
      <c r="O25" s="95">
        <f ca="1">IF('SVS GrundRG'!H61="",0,'SVS GrundRG'!H61)</f>
        <v>0</v>
      </c>
      <c r="P25" s="95">
        <f t="shared" si="2"/>
        <v>0</v>
      </c>
      <c r="Q25" s="95">
        <f t="shared" si="3"/>
        <v>0</v>
      </c>
      <c r="R25" s="95">
        <f t="shared" si="4"/>
        <v>0</v>
      </c>
      <c r="S25" s="3" t="str">
        <f t="shared" si="5"/>
        <v>Leistungswert eintragen</v>
      </c>
      <c r="U25" s="3">
        <f t="shared" si="6"/>
        <v>17.5</v>
      </c>
      <c r="V25" s="3">
        <f t="shared" si="7"/>
        <v>5.25</v>
      </c>
      <c r="W25" s="3">
        <f t="shared" si="8"/>
        <v>22.75</v>
      </c>
      <c r="X25" s="3" t="str">
        <f t="shared" si="9"/>
        <v/>
      </c>
    </row>
    <row r="26" spans="1:24" ht="15" customHeight="1" x14ac:dyDescent="0.2">
      <c r="A26" s="153">
        <v>5</v>
      </c>
      <c r="B26" s="165" t="s">
        <v>416</v>
      </c>
      <c r="C26" s="166" t="s">
        <v>276</v>
      </c>
      <c r="D26" s="166" t="s">
        <v>417</v>
      </c>
      <c r="E26" s="166" t="s">
        <v>291</v>
      </c>
      <c r="F26" s="166" t="s">
        <v>287</v>
      </c>
      <c r="G26" s="167">
        <v>6.48</v>
      </c>
      <c r="H26" s="167"/>
      <c r="I26" s="167"/>
      <c r="J26" s="153" t="s">
        <v>291</v>
      </c>
      <c r="K26" s="153" t="s">
        <v>168</v>
      </c>
      <c r="L26" s="95">
        <f>VLOOKUP(K26,Reinigungstage!A10:Q31,17,FALSE)</f>
        <v>1</v>
      </c>
      <c r="M26" s="95">
        <f t="shared" si="0"/>
        <v>6.48</v>
      </c>
      <c r="N26" s="168">
        <f t="shared" si="1"/>
        <v>0</v>
      </c>
      <c r="O26" s="95">
        <f ca="1">IF('SVS GrundRG'!H61="",0,'SVS GrundRG'!H61)</f>
        <v>0</v>
      </c>
      <c r="P26" s="95">
        <f t="shared" si="2"/>
        <v>0</v>
      </c>
      <c r="Q26" s="95">
        <f t="shared" si="3"/>
        <v>0</v>
      </c>
      <c r="R26" s="95">
        <f t="shared" si="4"/>
        <v>0</v>
      </c>
      <c r="S26" s="3" t="str">
        <f t="shared" si="5"/>
        <v>Leistungswert eintragen</v>
      </c>
      <c r="U26" s="3">
        <f t="shared" si="6"/>
        <v>15</v>
      </c>
      <c r="V26" s="3">
        <f t="shared" si="7"/>
        <v>4.5</v>
      </c>
      <c r="W26" s="3">
        <f t="shared" si="8"/>
        <v>19.5</v>
      </c>
      <c r="X26" s="3" t="str">
        <f t="shared" si="9"/>
        <v/>
      </c>
    </row>
    <row r="27" spans="1:24" ht="15" customHeight="1" x14ac:dyDescent="0.2">
      <c r="A27" s="153">
        <v>6</v>
      </c>
      <c r="B27" s="165" t="s">
        <v>418</v>
      </c>
      <c r="C27" s="166" t="s">
        <v>276</v>
      </c>
      <c r="D27" s="166" t="s">
        <v>417</v>
      </c>
      <c r="E27" s="166" t="s">
        <v>292</v>
      </c>
      <c r="F27" s="166" t="s">
        <v>293</v>
      </c>
      <c r="G27" s="167">
        <v>8.18</v>
      </c>
      <c r="H27" s="167"/>
      <c r="I27" s="167"/>
      <c r="J27" s="153" t="s">
        <v>314</v>
      </c>
      <c r="K27" s="153" t="s">
        <v>168</v>
      </c>
      <c r="L27" s="95">
        <f>VLOOKUP(K27,Reinigungstage!A10:Q31,17,FALSE)</f>
        <v>1</v>
      </c>
      <c r="M27" s="95">
        <f t="shared" si="0"/>
        <v>8.18</v>
      </c>
      <c r="N27" s="168">
        <f t="shared" si="1"/>
        <v>0</v>
      </c>
      <c r="O27" s="95">
        <f ca="1">IF('SVS GrundRG'!H61="",0,'SVS GrundRG'!H61)</f>
        <v>0</v>
      </c>
      <c r="P27" s="95">
        <f t="shared" si="2"/>
        <v>0</v>
      </c>
      <c r="Q27" s="95">
        <f t="shared" si="3"/>
        <v>0</v>
      </c>
      <c r="R27" s="95">
        <f t="shared" si="4"/>
        <v>0</v>
      </c>
      <c r="S27" s="3" t="str">
        <f t="shared" si="5"/>
        <v>Leistungswert eintragen</v>
      </c>
      <c r="U27" s="3">
        <f t="shared" si="6"/>
        <v>10</v>
      </c>
      <c r="V27" s="3">
        <f t="shared" si="7"/>
        <v>3</v>
      </c>
      <c r="W27" s="3">
        <f t="shared" si="8"/>
        <v>13</v>
      </c>
      <c r="X27" s="3" t="str">
        <f t="shared" si="9"/>
        <v/>
      </c>
    </row>
    <row r="28" spans="1:24" ht="24.95" customHeight="1" x14ac:dyDescent="0.2">
      <c r="A28" s="153">
        <v>7</v>
      </c>
      <c r="B28" s="165" t="s">
        <v>419</v>
      </c>
      <c r="C28" s="166" t="s">
        <v>276</v>
      </c>
      <c r="D28" s="166" t="s">
        <v>296</v>
      </c>
      <c r="E28" s="166" t="s">
        <v>288</v>
      </c>
      <c r="F28" s="166" t="s">
        <v>293</v>
      </c>
      <c r="G28" s="167">
        <v>16.3</v>
      </c>
      <c r="H28" s="167"/>
      <c r="I28" s="167"/>
      <c r="J28" s="153" t="s">
        <v>314</v>
      </c>
      <c r="K28" s="153" t="s">
        <v>168</v>
      </c>
      <c r="L28" s="95">
        <f>VLOOKUP(K28,Reinigungstage!A10:Q31,17,FALSE)</f>
        <v>1</v>
      </c>
      <c r="M28" s="95">
        <f t="shared" si="0"/>
        <v>16.3</v>
      </c>
      <c r="N28" s="168">
        <f t="shared" si="1"/>
        <v>0</v>
      </c>
      <c r="O28" s="95">
        <f ca="1">IF('SVS GrundRG'!H61="",0,'SVS GrundRG'!H61)</f>
        <v>0</v>
      </c>
      <c r="P28" s="95">
        <f t="shared" si="2"/>
        <v>0</v>
      </c>
      <c r="Q28" s="95">
        <f t="shared" si="3"/>
        <v>0</v>
      </c>
      <c r="R28" s="95">
        <f t="shared" si="4"/>
        <v>0</v>
      </c>
      <c r="S28" s="3" t="str">
        <f t="shared" si="5"/>
        <v>Leistungswert eintragen</v>
      </c>
      <c r="U28" s="3">
        <f t="shared" si="6"/>
        <v>10</v>
      </c>
      <c r="V28" s="3">
        <f t="shared" si="7"/>
        <v>3</v>
      </c>
      <c r="W28" s="3">
        <f t="shared" si="8"/>
        <v>13</v>
      </c>
      <c r="X28" s="3" t="str">
        <f t="shared" si="9"/>
        <v/>
      </c>
    </row>
    <row r="29" spans="1:24" ht="15" customHeight="1" x14ac:dyDescent="0.2">
      <c r="A29" s="153">
        <v>8</v>
      </c>
      <c r="B29" s="165" t="s">
        <v>420</v>
      </c>
      <c r="C29" s="166" t="s">
        <v>276</v>
      </c>
      <c r="D29" s="166" t="s">
        <v>421</v>
      </c>
      <c r="E29" s="166" t="s">
        <v>291</v>
      </c>
      <c r="F29" s="166" t="s">
        <v>293</v>
      </c>
      <c r="G29" s="167">
        <v>16.45</v>
      </c>
      <c r="H29" s="167"/>
      <c r="I29" s="167"/>
      <c r="J29" s="153" t="s">
        <v>291</v>
      </c>
      <c r="K29" s="153" t="s">
        <v>168</v>
      </c>
      <c r="L29" s="95">
        <f>VLOOKUP(K29,Reinigungstage!A10:Q31,17,FALSE)</f>
        <v>1</v>
      </c>
      <c r="M29" s="95">
        <f t="shared" si="0"/>
        <v>16.45</v>
      </c>
      <c r="N29" s="168">
        <f t="shared" si="1"/>
        <v>0</v>
      </c>
      <c r="O29" s="95">
        <f ca="1">IF('SVS GrundRG'!H61="",0,'SVS GrundRG'!H61)</f>
        <v>0</v>
      </c>
      <c r="P29" s="95">
        <f t="shared" si="2"/>
        <v>0</v>
      </c>
      <c r="Q29" s="95">
        <f t="shared" si="3"/>
        <v>0</v>
      </c>
      <c r="R29" s="95">
        <f t="shared" si="4"/>
        <v>0</v>
      </c>
      <c r="S29" s="3" t="str">
        <f t="shared" si="5"/>
        <v>Leistungswert eintragen</v>
      </c>
      <c r="U29" s="3">
        <f t="shared" si="6"/>
        <v>15</v>
      </c>
      <c r="V29" s="3">
        <f t="shared" si="7"/>
        <v>4.5</v>
      </c>
      <c r="W29" s="3">
        <f t="shared" si="8"/>
        <v>19.5</v>
      </c>
      <c r="X29" s="3" t="str">
        <f t="shared" si="9"/>
        <v/>
      </c>
    </row>
    <row r="30" spans="1:24" ht="15" customHeight="1" x14ac:dyDescent="0.2">
      <c r="A30" s="153">
        <v>9</v>
      </c>
      <c r="B30" s="165" t="s">
        <v>423</v>
      </c>
      <c r="C30" s="166" t="s">
        <v>276</v>
      </c>
      <c r="D30" s="166"/>
      <c r="E30" s="166" t="s">
        <v>424</v>
      </c>
      <c r="F30" s="166" t="s">
        <v>293</v>
      </c>
      <c r="G30" s="167">
        <v>5.1100000000000003</v>
      </c>
      <c r="H30" s="167"/>
      <c r="I30" s="167"/>
      <c r="J30" s="153" t="s">
        <v>314</v>
      </c>
      <c r="K30" s="153" t="s">
        <v>168</v>
      </c>
      <c r="L30" s="95">
        <f>VLOOKUP(K30,Reinigungstage!A10:Q31,17,FALSE)</f>
        <v>1</v>
      </c>
      <c r="M30" s="95">
        <f t="shared" si="0"/>
        <v>5.1100000000000003</v>
      </c>
      <c r="N30" s="168">
        <f t="shared" si="1"/>
        <v>0</v>
      </c>
      <c r="O30" s="95">
        <f ca="1">IF('SVS GrundRG'!H61="",0,'SVS GrundRG'!H61)</f>
        <v>0</v>
      </c>
      <c r="P30" s="95">
        <f t="shared" si="2"/>
        <v>0</v>
      </c>
      <c r="Q30" s="95">
        <f t="shared" si="3"/>
        <v>0</v>
      </c>
      <c r="R30" s="95">
        <f t="shared" si="4"/>
        <v>0</v>
      </c>
      <c r="S30" s="3" t="str">
        <f t="shared" si="5"/>
        <v>Leistungswert eintragen</v>
      </c>
      <c r="U30" s="3">
        <f t="shared" si="6"/>
        <v>10</v>
      </c>
      <c r="V30" s="3">
        <f t="shared" si="7"/>
        <v>3</v>
      </c>
      <c r="W30" s="3">
        <f t="shared" si="8"/>
        <v>13</v>
      </c>
      <c r="X30" s="3" t="str">
        <f t="shared" si="9"/>
        <v/>
      </c>
    </row>
    <row r="31" spans="1:24" ht="15" customHeight="1" x14ac:dyDescent="0.2">
      <c r="A31" s="153">
        <v>10</v>
      </c>
      <c r="B31" s="165" t="s">
        <v>426</v>
      </c>
      <c r="C31" s="166" t="s">
        <v>276</v>
      </c>
      <c r="D31" s="166"/>
      <c r="E31" s="166" t="s">
        <v>288</v>
      </c>
      <c r="F31" s="166" t="s">
        <v>427</v>
      </c>
      <c r="G31" s="167">
        <v>8.5</v>
      </c>
      <c r="H31" s="167"/>
      <c r="I31" s="167"/>
      <c r="J31" s="153" t="s">
        <v>313</v>
      </c>
      <c r="K31" s="153" t="s">
        <v>168</v>
      </c>
      <c r="L31" s="95">
        <f>VLOOKUP(K31,Reinigungstage!A10:Q31,17,FALSE)</f>
        <v>1</v>
      </c>
      <c r="M31" s="95">
        <f t="shared" si="0"/>
        <v>8.5</v>
      </c>
      <c r="N31" s="168">
        <f t="shared" si="1"/>
        <v>0</v>
      </c>
      <c r="O31" s="95">
        <f ca="1">IF('SVS GrundRG'!H61="",0,'SVS GrundRG'!H61)</f>
        <v>0</v>
      </c>
      <c r="P31" s="95">
        <f t="shared" si="2"/>
        <v>0</v>
      </c>
      <c r="Q31" s="95">
        <f t="shared" si="3"/>
        <v>0</v>
      </c>
      <c r="R31" s="95">
        <f t="shared" si="4"/>
        <v>0</v>
      </c>
      <c r="S31" s="3" t="str">
        <f t="shared" si="5"/>
        <v>Leistungswert eintragen</v>
      </c>
      <c r="U31" s="3">
        <f t="shared" si="6"/>
        <v>24.5</v>
      </c>
      <c r="V31" s="3">
        <f t="shared" si="7"/>
        <v>7.35</v>
      </c>
      <c r="W31" s="3">
        <f t="shared" si="8"/>
        <v>31.85</v>
      </c>
      <c r="X31" s="3" t="str">
        <f t="shared" si="9"/>
        <v/>
      </c>
    </row>
    <row r="32" spans="1:24" ht="15" customHeight="1" x14ac:dyDescent="0.2">
      <c r="A32" s="153">
        <v>11</v>
      </c>
      <c r="B32" s="165" t="s">
        <v>439</v>
      </c>
      <c r="C32" s="166" t="s">
        <v>276</v>
      </c>
      <c r="D32" s="166"/>
      <c r="E32" s="166" t="s">
        <v>440</v>
      </c>
      <c r="F32" s="166" t="s">
        <v>293</v>
      </c>
      <c r="G32" s="167">
        <v>39.36</v>
      </c>
      <c r="H32" s="167"/>
      <c r="I32" s="167"/>
      <c r="J32" s="153" t="s">
        <v>291</v>
      </c>
      <c r="K32" s="153" t="s">
        <v>168</v>
      </c>
      <c r="L32" s="95">
        <f>VLOOKUP(K32,Reinigungstage!A10:Q31,17,FALSE)</f>
        <v>1</v>
      </c>
      <c r="M32" s="95">
        <f t="shared" si="0"/>
        <v>39.36</v>
      </c>
      <c r="N32" s="168">
        <f t="shared" si="1"/>
        <v>0</v>
      </c>
      <c r="O32" s="95">
        <f ca="1">IF('SVS GrundRG'!H61="",0,'SVS GrundRG'!H61)</f>
        <v>0</v>
      </c>
      <c r="P32" s="95">
        <f t="shared" si="2"/>
        <v>0</v>
      </c>
      <c r="Q32" s="95">
        <f t="shared" si="3"/>
        <v>0</v>
      </c>
      <c r="R32" s="95">
        <f t="shared" si="4"/>
        <v>0</v>
      </c>
      <c r="S32" s="3" t="str">
        <f t="shared" si="5"/>
        <v>Leistungswert eintragen</v>
      </c>
      <c r="U32" s="3">
        <f t="shared" si="6"/>
        <v>15</v>
      </c>
      <c r="V32" s="3">
        <f t="shared" si="7"/>
        <v>4.5</v>
      </c>
      <c r="W32" s="3">
        <f t="shared" si="8"/>
        <v>19.5</v>
      </c>
      <c r="X32" s="3" t="str">
        <f t="shared" si="9"/>
        <v/>
      </c>
    </row>
    <row r="33" spans="1:24" ht="15" customHeight="1" x14ac:dyDescent="0.2">
      <c r="A33" s="153">
        <v>12</v>
      </c>
      <c r="B33" s="165" t="s">
        <v>441</v>
      </c>
      <c r="C33" s="166" t="s">
        <v>276</v>
      </c>
      <c r="D33" s="166"/>
      <c r="E33" s="166" t="s">
        <v>442</v>
      </c>
      <c r="F33" s="166" t="s">
        <v>293</v>
      </c>
      <c r="G33" s="167">
        <v>37.35</v>
      </c>
      <c r="H33" s="167"/>
      <c r="I33" s="167"/>
      <c r="J33" s="153" t="s">
        <v>291</v>
      </c>
      <c r="K33" s="153" t="s">
        <v>168</v>
      </c>
      <c r="L33" s="95">
        <f>VLOOKUP(K33,Reinigungstage!A10:Q31,17,FALSE)</f>
        <v>1</v>
      </c>
      <c r="M33" s="95">
        <f t="shared" si="0"/>
        <v>37.35</v>
      </c>
      <c r="N33" s="168">
        <f t="shared" si="1"/>
        <v>0</v>
      </c>
      <c r="O33" s="95">
        <f ca="1">IF('SVS GrundRG'!H61="",0,'SVS GrundRG'!H61)</f>
        <v>0</v>
      </c>
      <c r="P33" s="95">
        <f t="shared" si="2"/>
        <v>0</v>
      </c>
      <c r="Q33" s="95">
        <f t="shared" si="3"/>
        <v>0</v>
      </c>
      <c r="R33" s="95">
        <f t="shared" si="4"/>
        <v>0</v>
      </c>
      <c r="S33" s="3" t="str">
        <f t="shared" si="5"/>
        <v>Leistungswert eintragen</v>
      </c>
      <c r="U33" s="3">
        <f t="shared" si="6"/>
        <v>15</v>
      </c>
      <c r="V33" s="3">
        <f t="shared" si="7"/>
        <v>4.5</v>
      </c>
      <c r="W33" s="3">
        <f t="shared" si="8"/>
        <v>19.5</v>
      </c>
      <c r="X33" s="3" t="str">
        <f t="shared" si="9"/>
        <v/>
      </c>
    </row>
    <row r="34" spans="1:24" ht="15" customHeight="1" x14ac:dyDescent="0.2">
      <c r="A34" s="153">
        <v>13</v>
      </c>
      <c r="B34" s="165" t="s">
        <v>443</v>
      </c>
      <c r="C34" s="166" t="s">
        <v>276</v>
      </c>
      <c r="D34" s="166" t="s">
        <v>290</v>
      </c>
      <c r="E34" s="166" t="s">
        <v>444</v>
      </c>
      <c r="F34" s="166" t="s">
        <v>293</v>
      </c>
      <c r="G34" s="167">
        <v>13.19</v>
      </c>
      <c r="H34" s="167"/>
      <c r="I34" s="167"/>
      <c r="J34" s="153" t="s">
        <v>291</v>
      </c>
      <c r="K34" s="153" t="s">
        <v>168</v>
      </c>
      <c r="L34" s="95">
        <f>VLOOKUP(K34,Reinigungstage!A10:Q31,17,FALSE)</f>
        <v>1</v>
      </c>
      <c r="M34" s="95">
        <f t="shared" si="0"/>
        <v>13.19</v>
      </c>
      <c r="N34" s="168">
        <f t="shared" si="1"/>
        <v>0</v>
      </c>
      <c r="O34" s="95">
        <f ca="1">IF('SVS GrundRG'!H61="",0,'SVS GrundRG'!H61)</f>
        <v>0</v>
      </c>
      <c r="P34" s="95">
        <f t="shared" si="2"/>
        <v>0</v>
      </c>
      <c r="Q34" s="95">
        <f t="shared" si="3"/>
        <v>0</v>
      </c>
      <c r="R34" s="95">
        <f t="shared" si="4"/>
        <v>0</v>
      </c>
      <c r="S34" s="3" t="str">
        <f t="shared" si="5"/>
        <v>Leistungswert eintragen</v>
      </c>
      <c r="U34" s="3">
        <f t="shared" si="6"/>
        <v>15</v>
      </c>
      <c r="V34" s="3">
        <f t="shared" si="7"/>
        <v>4.5</v>
      </c>
      <c r="W34" s="3">
        <f t="shared" si="8"/>
        <v>19.5</v>
      </c>
      <c r="X34" s="3" t="str">
        <f t="shared" si="9"/>
        <v/>
      </c>
    </row>
    <row r="35" spans="1:24" ht="15" customHeight="1" x14ac:dyDescent="0.2">
      <c r="A35" s="153">
        <v>14</v>
      </c>
      <c r="B35" s="165" t="s">
        <v>445</v>
      </c>
      <c r="C35" s="166" t="s">
        <v>276</v>
      </c>
      <c r="D35" s="166"/>
      <c r="E35" s="166" t="s">
        <v>288</v>
      </c>
      <c r="F35" s="166" t="s">
        <v>293</v>
      </c>
      <c r="G35" s="167">
        <v>6.58</v>
      </c>
      <c r="H35" s="167"/>
      <c r="I35" s="167"/>
      <c r="J35" s="153" t="s">
        <v>313</v>
      </c>
      <c r="K35" s="153" t="s">
        <v>168</v>
      </c>
      <c r="L35" s="95">
        <f>VLOOKUP(K35,Reinigungstage!A10:Q31,17,FALSE)</f>
        <v>1</v>
      </c>
      <c r="M35" s="95">
        <f t="shared" si="0"/>
        <v>6.58</v>
      </c>
      <c r="N35" s="168">
        <f t="shared" si="1"/>
        <v>0</v>
      </c>
      <c r="O35" s="95">
        <f ca="1">IF('SVS GrundRG'!H61="",0,'SVS GrundRG'!H61)</f>
        <v>0</v>
      </c>
      <c r="P35" s="95">
        <f t="shared" si="2"/>
        <v>0</v>
      </c>
      <c r="Q35" s="95">
        <f t="shared" si="3"/>
        <v>0</v>
      </c>
      <c r="R35" s="95">
        <f t="shared" si="4"/>
        <v>0</v>
      </c>
      <c r="S35" s="3" t="str">
        <f t="shared" si="5"/>
        <v>Leistungswert eintragen</v>
      </c>
      <c r="U35" s="3">
        <f t="shared" si="6"/>
        <v>24.5</v>
      </c>
      <c r="V35" s="3">
        <f t="shared" si="7"/>
        <v>7.35</v>
      </c>
      <c r="W35" s="3">
        <f t="shared" si="8"/>
        <v>31.85</v>
      </c>
      <c r="X35" s="3" t="str">
        <f t="shared" si="9"/>
        <v/>
      </c>
    </row>
    <row r="36" spans="1:24" ht="15" customHeight="1" x14ac:dyDescent="0.2">
      <c r="A36" s="153">
        <v>15</v>
      </c>
      <c r="B36" s="165" t="s">
        <v>448</v>
      </c>
      <c r="C36" s="166" t="s">
        <v>276</v>
      </c>
      <c r="D36" s="166" t="s">
        <v>290</v>
      </c>
      <c r="E36" s="166" t="s">
        <v>380</v>
      </c>
      <c r="F36" s="166" t="s">
        <v>293</v>
      </c>
      <c r="G36" s="167">
        <v>5.51</v>
      </c>
      <c r="H36" s="167"/>
      <c r="I36" s="167"/>
      <c r="J36" s="153" t="s">
        <v>314</v>
      </c>
      <c r="K36" s="153" t="s">
        <v>168</v>
      </c>
      <c r="L36" s="95">
        <f>VLOOKUP(K36,Reinigungstage!A10:Q31,17,FALSE)</f>
        <v>1</v>
      </c>
      <c r="M36" s="95">
        <f t="shared" si="0"/>
        <v>5.51</v>
      </c>
      <c r="N36" s="168">
        <f t="shared" si="1"/>
        <v>0</v>
      </c>
      <c r="O36" s="95">
        <f ca="1">IF('SVS GrundRG'!H61="",0,'SVS GrundRG'!H61)</f>
        <v>0</v>
      </c>
      <c r="P36" s="95">
        <f t="shared" si="2"/>
        <v>0</v>
      </c>
      <c r="Q36" s="95">
        <f t="shared" si="3"/>
        <v>0</v>
      </c>
      <c r="R36" s="95">
        <f t="shared" si="4"/>
        <v>0</v>
      </c>
      <c r="S36" s="3" t="str">
        <f t="shared" si="5"/>
        <v>Leistungswert eintragen</v>
      </c>
      <c r="U36" s="3">
        <f t="shared" si="6"/>
        <v>10</v>
      </c>
      <c r="V36" s="3">
        <f t="shared" si="7"/>
        <v>3</v>
      </c>
      <c r="W36" s="3">
        <f t="shared" si="8"/>
        <v>13</v>
      </c>
      <c r="X36" s="3" t="str">
        <f t="shared" si="9"/>
        <v/>
      </c>
    </row>
    <row r="37" spans="1:24" ht="15" customHeight="1" x14ac:dyDescent="0.2">
      <c r="A37" s="153">
        <v>16</v>
      </c>
      <c r="B37" s="165" t="s">
        <v>449</v>
      </c>
      <c r="C37" s="166" t="s">
        <v>276</v>
      </c>
      <c r="D37" s="166" t="s">
        <v>290</v>
      </c>
      <c r="E37" s="166" t="s">
        <v>292</v>
      </c>
      <c r="F37" s="166" t="s">
        <v>293</v>
      </c>
      <c r="G37" s="167">
        <v>16.13</v>
      </c>
      <c r="H37" s="167"/>
      <c r="I37" s="167"/>
      <c r="J37" s="153" t="s">
        <v>314</v>
      </c>
      <c r="K37" s="153" t="s">
        <v>168</v>
      </c>
      <c r="L37" s="95">
        <f>VLOOKUP(K37,Reinigungstage!A10:Q31,17,FALSE)</f>
        <v>1</v>
      </c>
      <c r="M37" s="95">
        <f t="shared" si="0"/>
        <v>16.13</v>
      </c>
      <c r="N37" s="168">
        <f t="shared" si="1"/>
        <v>0</v>
      </c>
      <c r="O37" s="95">
        <f ca="1">IF('SVS GrundRG'!H61="",0,'SVS GrundRG'!H61)</f>
        <v>0</v>
      </c>
      <c r="P37" s="95">
        <f t="shared" si="2"/>
        <v>0</v>
      </c>
      <c r="Q37" s="95">
        <f t="shared" si="3"/>
        <v>0</v>
      </c>
      <c r="R37" s="95">
        <f t="shared" si="4"/>
        <v>0</v>
      </c>
      <c r="S37" s="3" t="str">
        <f t="shared" si="5"/>
        <v>Leistungswert eintragen</v>
      </c>
      <c r="U37" s="3">
        <f t="shared" si="6"/>
        <v>10</v>
      </c>
      <c r="V37" s="3">
        <f t="shared" si="7"/>
        <v>3</v>
      </c>
      <c r="W37" s="3">
        <f t="shared" si="8"/>
        <v>13</v>
      </c>
      <c r="X37" s="3" t="str">
        <f t="shared" si="9"/>
        <v/>
      </c>
    </row>
    <row r="38" spans="1:24" ht="15" customHeight="1" x14ac:dyDescent="0.2">
      <c r="A38" s="153">
        <v>17</v>
      </c>
      <c r="B38" s="165" t="s">
        <v>450</v>
      </c>
      <c r="C38" s="166" t="s">
        <v>276</v>
      </c>
      <c r="D38" s="166" t="s">
        <v>301</v>
      </c>
      <c r="E38" s="166" t="s">
        <v>444</v>
      </c>
      <c r="F38" s="166" t="s">
        <v>293</v>
      </c>
      <c r="G38" s="167">
        <v>13.64</v>
      </c>
      <c r="H38" s="167"/>
      <c r="I38" s="167"/>
      <c r="J38" s="153" t="s">
        <v>291</v>
      </c>
      <c r="K38" s="153" t="s">
        <v>168</v>
      </c>
      <c r="L38" s="95">
        <f>VLOOKUP(K38,Reinigungstage!A10:Q31,17,FALSE)</f>
        <v>1</v>
      </c>
      <c r="M38" s="95">
        <f t="shared" si="0"/>
        <v>13.64</v>
      </c>
      <c r="N38" s="168">
        <f t="shared" si="1"/>
        <v>0</v>
      </c>
      <c r="O38" s="95">
        <f ca="1">IF('SVS GrundRG'!H61="",0,'SVS GrundRG'!H61)</f>
        <v>0</v>
      </c>
      <c r="P38" s="95">
        <f t="shared" si="2"/>
        <v>0</v>
      </c>
      <c r="Q38" s="95">
        <f t="shared" si="3"/>
        <v>0</v>
      </c>
      <c r="R38" s="95">
        <f t="shared" si="4"/>
        <v>0</v>
      </c>
      <c r="S38" s="3" t="str">
        <f t="shared" si="5"/>
        <v>Leistungswert eintragen</v>
      </c>
      <c r="U38" s="3">
        <f t="shared" si="6"/>
        <v>15</v>
      </c>
      <c r="V38" s="3">
        <f t="shared" si="7"/>
        <v>4.5</v>
      </c>
      <c r="W38" s="3">
        <f t="shared" si="8"/>
        <v>19.5</v>
      </c>
      <c r="X38" s="3" t="str">
        <f t="shared" si="9"/>
        <v/>
      </c>
    </row>
    <row r="39" spans="1:24" ht="15" customHeight="1" x14ac:dyDescent="0.2">
      <c r="A39" s="153">
        <v>18</v>
      </c>
      <c r="B39" s="165" t="s">
        <v>451</v>
      </c>
      <c r="C39" s="166" t="s">
        <v>276</v>
      </c>
      <c r="D39" s="166"/>
      <c r="E39" s="166" t="s">
        <v>288</v>
      </c>
      <c r="F39" s="166" t="s">
        <v>293</v>
      </c>
      <c r="G39" s="167">
        <v>9.5</v>
      </c>
      <c r="H39" s="167"/>
      <c r="I39" s="167"/>
      <c r="J39" s="153" t="s">
        <v>313</v>
      </c>
      <c r="K39" s="153" t="s">
        <v>168</v>
      </c>
      <c r="L39" s="95">
        <f>VLOOKUP(K39,Reinigungstage!A10:Q31,17,FALSE)</f>
        <v>1</v>
      </c>
      <c r="M39" s="95">
        <f t="shared" si="0"/>
        <v>9.5</v>
      </c>
      <c r="N39" s="168">
        <f t="shared" si="1"/>
        <v>0</v>
      </c>
      <c r="O39" s="95">
        <f ca="1">IF('SVS GrundRG'!H61="",0,'SVS GrundRG'!H61)</f>
        <v>0</v>
      </c>
      <c r="P39" s="95">
        <f t="shared" si="2"/>
        <v>0</v>
      </c>
      <c r="Q39" s="95">
        <f t="shared" si="3"/>
        <v>0</v>
      </c>
      <c r="R39" s="95">
        <f t="shared" si="4"/>
        <v>0</v>
      </c>
      <c r="S39" s="3" t="str">
        <f t="shared" si="5"/>
        <v>Leistungswert eintragen</v>
      </c>
      <c r="U39" s="3">
        <f t="shared" si="6"/>
        <v>24.5</v>
      </c>
      <c r="V39" s="3">
        <f t="shared" si="7"/>
        <v>7.35</v>
      </c>
      <c r="W39" s="3">
        <f t="shared" si="8"/>
        <v>31.85</v>
      </c>
      <c r="X39" s="3" t="str">
        <f t="shared" si="9"/>
        <v/>
      </c>
    </row>
    <row r="40" spans="1:24" ht="15" customHeight="1" x14ac:dyDescent="0.2">
      <c r="A40" s="153">
        <v>19</v>
      </c>
      <c r="B40" s="165" t="s">
        <v>452</v>
      </c>
      <c r="C40" s="166" t="s">
        <v>276</v>
      </c>
      <c r="D40" s="166" t="s">
        <v>301</v>
      </c>
      <c r="E40" s="166" t="s">
        <v>292</v>
      </c>
      <c r="F40" s="166" t="s">
        <v>293</v>
      </c>
      <c r="G40" s="167">
        <v>15.41</v>
      </c>
      <c r="H40" s="167"/>
      <c r="I40" s="167"/>
      <c r="J40" s="153" t="s">
        <v>314</v>
      </c>
      <c r="K40" s="153" t="s">
        <v>168</v>
      </c>
      <c r="L40" s="95">
        <f>VLOOKUP(K40,Reinigungstage!A10:Q31,17,FALSE)</f>
        <v>1</v>
      </c>
      <c r="M40" s="95">
        <f t="shared" si="0"/>
        <v>15.41</v>
      </c>
      <c r="N40" s="168">
        <f t="shared" si="1"/>
        <v>0</v>
      </c>
      <c r="O40" s="95">
        <f ca="1">IF('SVS GrundRG'!H61="",0,'SVS GrundRG'!H61)</f>
        <v>0</v>
      </c>
      <c r="P40" s="95">
        <f t="shared" si="2"/>
        <v>0</v>
      </c>
      <c r="Q40" s="95">
        <f t="shared" si="3"/>
        <v>0</v>
      </c>
      <c r="R40" s="95">
        <f t="shared" si="4"/>
        <v>0</v>
      </c>
      <c r="S40" s="3" t="str">
        <f t="shared" si="5"/>
        <v>Leistungswert eintragen</v>
      </c>
      <c r="U40" s="3">
        <f t="shared" si="6"/>
        <v>10</v>
      </c>
      <c r="V40" s="3">
        <f t="shared" si="7"/>
        <v>3</v>
      </c>
      <c r="W40" s="3">
        <f t="shared" si="8"/>
        <v>13</v>
      </c>
      <c r="X40" s="3" t="str">
        <f t="shared" si="9"/>
        <v/>
      </c>
    </row>
    <row r="41" spans="1:24" ht="15" customHeight="1" x14ac:dyDescent="0.2">
      <c r="A41" s="153">
        <v>20</v>
      </c>
      <c r="B41" s="165" t="s">
        <v>453</v>
      </c>
      <c r="C41" s="166" t="s">
        <v>276</v>
      </c>
      <c r="D41" s="166" t="s">
        <v>301</v>
      </c>
      <c r="E41" s="166" t="s">
        <v>381</v>
      </c>
      <c r="F41" s="166" t="s">
        <v>293</v>
      </c>
      <c r="G41" s="167">
        <v>7.89</v>
      </c>
      <c r="H41" s="167"/>
      <c r="I41" s="167"/>
      <c r="J41" s="153" t="s">
        <v>314</v>
      </c>
      <c r="K41" s="153" t="s">
        <v>168</v>
      </c>
      <c r="L41" s="95">
        <f>VLOOKUP(K41,Reinigungstage!A10:Q31,17,FALSE)</f>
        <v>1</v>
      </c>
      <c r="M41" s="95">
        <f t="shared" si="0"/>
        <v>7.89</v>
      </c>
      <c r="N41" s="168">
        <f t="shared" si="1"/>
        <v>0</v>
      </c>
      <c r="O41" s="95">
        <f ca="1">IF('SVS GrundRG'!H61="",0,'SVS GrundRG'!H61)</f>
        <v>0</v>
      </c>
      <c r="P41" s="95">
        <f t="shared" si="2"/>
        <v>0</v>
      </c>
      <c r="Q41" s="95">
        <f t="shared" si="3"/>
        <v>0</v>
      </c>
      <c r="R41" s="95">
        <f t="shared" si="4"/>
        <v>0</v>
      </c>
      <c r="S41" s="3" t="str">
        <f t="shared" si="5"/>
        <v>Leistungswert eintragen</v>
      </c>
      <c r="U41" s="3">
        <f t="shared" si="6"/>
        <v>10</v>
      </c>
      <c r="V41" s="3">
        <f t="shared" si="7"/>
        <v>3</v>
      </c>
      <c r="W41" s="3">
        <f t="shared" si="8"/>
        <v>13</v>
      </c>
      <c r="X41" s="3" t="str">
        <f t="shared" si="9"/>
        <v/>
      </c>
    </row>
    <row r="42" spans="1:24" ht="15" customHeight="1" x14ac:dyDescent="0.2">
      <c r="A42" s="153">
        <v>21</v>
      </c>
      <c r="B42" s="165" t="s">
        <v>454</v>
      </c>
      <c r="C42" s="166" t="s">
        <v>276</v>
      </c>
      <c r="D42" s="166"/>
      <c r="E42" s="166" t="s">
        <v>455</v>
      </c>
      <c r="F42" s="166" t="s">
        <v>293</v>
      </c>
      <c r="G42" s="167">
        <v>276.33</v>
      </c>
      <c r="H42" s="167"/>
      <c r="I42" s="167"/>
      <c r="J42" s="153" t="s">
        <v>314</v>
      </c>
      <c r="K42" s="153" t="s">
        <v>168</v>
      </c>
      <c r="L42" s="95">
        <f>VLOOKUP(K42,Reinigungstage!A10:Q31,17,FALSE)</f>
        <v>1</v>
      </c>
      <c r="M42" s="95">
        <f t="shared" si="0"/>
        <v>276.33</v>
      </c>
      <c r="N42" s="168">
        <f t="shared" si="1"/>
        <v>0</v>
      </c>
      <c r="O42" s="95">
        <f ca="1">IF('SVS GrundRG'!H61="",0,'SVS GrundRG'!H61)</f>
        <v>0</v>
      </c>
      <c r="P42" s="95">
        <f t="shared" si="2"/>
        <v>0</v>
      </c>
      <c r="Q42" s="95">
        <f t="shared" si="3"/>
        <v>0</v>
      </c>
      <c r="R42" s="95">
        <f t="shared" si="4"/>
        <v>0</v>
      </c>
      <c r="S42" s="3" t="str">
        <f t="shared" si="5"/>
        <v>Leistungswert eintragen</v>
      </c>
      <c r="U42" s="3">
        <f t="shared" si="6"/>
        <v>10</v>
      </c>
      <c r="V42" s="3">
        <f t="shared" si="7"/>
        <v>3</v>
      </c>
      <c r="W42" s="3">
        <f t="shared" si="8"/>
        <v>13</v>
      </c>
      <c r="X42" s="3" t="str">
        <f t="shared" si="9"/>
        <v/>
      </c>
    </row>
    <row r="43" spans="1:24" ht="15" customHeight="1" x14ac:dyDescent="0.2">
      <c r="A43" s="153">
        <v>22</v>
      </c>
      <c r="B43" s="165" t="s">
        <v>456</v>
      </c>
      <c r="C43" s="166" t="s">
        <v>276</v>
      </c>
      <c r="D43" s="166"/>
      <c r="E43" s="166" t="s">
        <v>457</v>
      </c>
      <c r="F43" s="166" t="s">
        <v>645</v>
      </c>
      <c r="G43" s="167">
        <v>236.83</v>
      </c>
      <c r="H43" s="167"/>
      <c r="I43" s="167"/>
      <c r="J43" s="153" t="s">
        <v>314</v>
      </c>
      <c r="K43" s="153" t="s">
        <v>168</v>
      </c>
      <c r="L43" s="95">
        <f>VLOOKUP(K43,Reinigungstage!A10:Q31,17,FALSE)</f>
        <v>1</v>
      </c>
      <c r="M43" s="95">
        <f t="shared" si="0"/>
        <v>236.83</v>
      </c>
      <c r="N43" s="168">
        <f t="shared" si="1"/>
        <v>0</v>
      </c>
      <c r="O43" s="95">
        <f ca="1">IF('SVS GrundRG'!H61="",0,'SVS GrundRG'!H61)</f>
        <v>0</v>
      </c>
      <c r="P43" s="95">
        <f t="shared" si="2"/>
        <v>0</v>
      </c>
      <c r="Q43" s="95">
        <f t="shared" si="3"/>
        <v>0</v>
      </c>
      <c r="R43" s="95">
        <f t="shared" si="4"/>
        <v>0</v>
      </c>
      <c r="S43" s="3" t="str">
        <f t="shared" si="5"/>
        <v>Leistungswert eintragen</v>
      </c>
      <c r="U43" s="3">
        <f t="shared" si="6"/>
        <v>10</v>
      </c>
      <c r="V43" s="3">
        <f t="shared" si="7"/>
        <v>3</v>
      </c>
      <c r="W43" s="3">
        <f t="shared" si="8"/>
        <v>13</v>
      </c>
      <c r="X43" s="3" t="str">
        <f t="shared" si="9"/>
        <v/>
      </c>
    </row>
    <row r="44" spans="1:24" ht="15" customHeight="1" x14ac:dyDescent="0.2">
      <c r="A44" s="153">
        <v>23</v>
      </c>
      <c r="B44" s="165" t="s">
        <v>459</v>
      </c>
      <c r="C44" s="166" t="s">
        <v>276</v>
      </c>
      <c r="D44" s="166"/>
      <c r="E44" s="166" t="s">
        <v>460</v>
      </c>
      <c r="F44" s="166" t="s">
        <v>293</v>
      </c>
      <c r="G44" s="167">
        <v>26.2</v>
      </c>
      <c r="H44" s="167"/>
      <c r="I44" s="167"/>
      <c r="J44" s="153" t="s">
        <v>314</v>
      </c>
      <c r="K44" s="153" t="s">
        <v>168</v>
      </c>
      <c r="L44" s="95">
        <f>VLOOKUP(K44,Reinigungstage!A10:Q31,17,FALSE)</f>
        <v>1</v>
      </c>
      <c r="M44" s="95">
        <f t="shared" si="0"/>
        <v>26.2</v>
      </c>
      <c r="N44" s="168">
        <f t="shared" si="1"/>
        <v>0</v>
      </c>
      <c r="O44" s="95">
        <f ca="1">IF('SVS GrundRG'!H61="",0,'SVS GrundRG'!H61)</f>
        <v>0</v>
      </c>
      <c r="P44" s="95">
        <f t="shared" si="2"/>
        <v>0</v>
      </c>
      <c r="Q44" s="95">
        <f t="shared" si="3"/>
        <v>0</v>
      </c>
      <c r="R44" s="95">
        <f t="shared" si="4"/>
        <v>0</v>
      </c>
      <c r="S44" s="3" t="str">
        <f t="shared" si="5"/>
        <v>Leistungswert eintragen</v>
      </c>
      <c r="U44" s="3">
        <f t="shared" si="6"/>
        <v>10</v>
      </c>
      <c r="V44" s="3">
        <f t="shared" si="7"/>
        <v>3</v>
      </c>
      <c r="W44" s="3">
        <f t="shared" si="8"/>
        <v>13</v>
      </c>
      <c r="X44" s="3" t="str">
        <f t="shared" si="9"/>
        <v/>
      </c>
    </row>
    <row r="45" spans="1:24" ht="15" customHeight="1" x14ac:dyDescent="0.2">
      <c r="A45" s="153">
        <v>24</v>
      </c>
      <c r="B45" s="165" t="s">
        <v>467</v>
      </c>
      <c r="C45" s="166" t="s">
        <v>276</v>
      </c>
      <c r="D45" s="166"/>
      <c r="E45" s="166" t="s">
        <v>468</v>
      </c>
      <c r="F45" s="166" t="s">
        <v>469</v>
      </c>
      <c r="G45" s="167">
        <v>13.06</v>
      </c>
      <c r="H45" s="167"/>
      <c r="I45" s="167"/>
      <c r="J45" s="153" t="s">
        <v>310</v>
      </c>
      <c r="K45" s="153" t="s">
        <v>168</v>
      </c>
      <c r="L45" s="95">
        <f>VLOOKUP(K45,Reinigungstage!A10:Q31,17,FALSE)</f>
        <v>1</v>
      </c>
      <c r="M45" s="95">
        <f t="shared" si="0"/>
        <v>13.06</v>
      </c>
      <c r="N45" s="168">
        <f t="shared" si="1"/>
        <v>0</v>
      </c>
      <c r="O45" s="95">
        <f ca="1">IF('SVS GrundRG'!H61="",0,'SVS GrundRG'!H61)</f>
        <v>0</v>
      </c>
      <c r="P45" s="95">
        <f t="shared" si="2"/>
        <v>0</v>
      </c>
      <c r="Q45" s="95">
        <f t="shared" si="3"/>
        <v>0</v>
      </c>
      <c r="R45" s="95">
        <f t="shared" si="4"/>
        <v>0</v>
      </c>
      <c r="S45" s="3" t="str">
        <f t="shared" si="5"/>
        <v>Leistungswert eintragen</v>
      </c>
      <c r="U45" s="3">
        <f t="shared" si="6"/>
        <v>15</v>
      </c>
      <c r="V45" s="3">
        <f t="shared" si="7"/>
        <v>4.5</v>
      </c>
      <c r="W45" s="3">
        <f t="shared" si="8"/>
        <v>19.5</v>
      </c>
      <c r="X45" s="3" t="str">
        <f t="shared" si="9"/>
        <v/>
      </c>
    </row>
    <row r="46" spans="1:24" ht="15" customHeight="1" x14ac:dyDescent="0.2">
      <c r="A46" s="153">
        <v>25</v>
      </c>
      <c r="B46" s="165" t="s">
        <v>470</v>
      </c>
      <c r="C46" s="166" t="s">
        <v>471</v>
      </c>
      <c r="D46" s="166"/>
      <c r="E46" s="166" t="s">
        <v>468</v>
      </c>
      <c r="F46" s="166" t="s">
        <v>469</v>
      </c>
      <c r="G46" s="167">
        <v>13.06</v>
      </c>
      <c r="H46" s="167"/>
      <c r="I46" s="167"/>
      <c r="J46" s="153" t="s">
        <v>310</v>
      </c>
      <c r="K46" s="153" t="s">
        <v>168</v>
      </c>
      <c r="L46" s="95">
        <f>VLOOKUP(K46,Reinigungstage!A10:Q31,17,FALSE)</f>
        <v>1</v>
      </c>
      <c r="M46" s="95">
        <f t="shared" si="0"/>
        <v>13.06</v>
      </c>
      <c r="N46" s="168">
        <f t="shared" si="1"/>
        <v>0</v>
      </c>
      <c r="O46" s="95">
        <f ca="1">IF('SVS GrundRG'!H61="",0,'SVS GrundRG'!H61)</f>
        <v>0</v>
      </c>
      <c r="P46" s="95">
        <f t="shared" si="2"/>
        <v>0</v>
      </c>
      <c r="Q46" s="95">
        <f t="shared" si="3"/>
        <v>0</v>
      </c>
      <c r="R46" s="95">
        <f t="shared" si="4"/>
        <v>0</v>
      </c>
      <c r="S46" s="3" t="str">
        <f t="shared" si="5"/>
        <v>Leistungswert eintragen</v>
      </c>
      <c r="U46" s="3">
        <f t="shared" si="6"/>
        <v>15</v>
      </c>
      <c r="V46" s="3">
        <f t="shared" si="7"/>
        <v>4.5</v>
      </c>
      <c r="W46" s="3">
        <f t="shared" si="8"/>
        <v>19.5</v>
      </c>
      <c r="X46" s="3" t="str">
        <f t="shared" si="9"/>
        <v/>
      </c>
    </row>
  </sheetData>
  <sheetProtection algorithmName="SHA-512" hashValue="17z01vddLuTS8RwkhB5VaDCNt3eXXMX/w9GabyC/eKY0/KI0h6pZOK47dRqfdDA5JbzIHpW2cTsr6xYbmVhN5A==" saltValue="aKC4/EXm/MyuxpD0Sbso7Q==" spinCount="100000" sheet="1" objects="1" scenarios="1"/>
  <sortState xmlns:xlrd2="http://schemas.microsoft.com/office/spreadsheetml/2017/richdata2" ref="U4:U9">
    <sortCondition ref="U4"/>
  </sortState>
  <mergeCells count="16">
    <mergeCell ref="B13:E13"/>
    <mergeCell ref="B4:E5"/>
    <mergeCell ref="B6:E6"/>
    <mergeCell ref="B7:E7"/>
    <mergeCell ref="B8:E8"/>
    <mergeCell ref="B9:E9"/>
    <mergeCell ref="B10:E10"/>
    <mergeCell ref="B11:E11"/>
    <mergeCell ref="B12:E12"/>
    <mergeCell ref="N2:Q5"/>
    <mergeCell ref="A4:A5"/>
    <mergeCell ref="A2:E2"/>
    <mergeCell ref="G2:G3"/>
    <mergeCell ref="H2:H3"/>
    <mergeCell ref="I2:I3"/>
    <mergeCell ref="J2:J3"/>
  </mergeCells>
  <conditionalFormatting sqref="L8">
    <cfRule type="containsText" dxfId="133" priority="6" operator="containsText" text="Ihre Eintragungen der Leistungswerte liegen weit über den Erfahrungswerten aus der Preisschätzung.">
      <formula>NOT(ISERROR(SEARCH("Ihre Eintragungen der Leistungswerte liegen weit über den Erfahrungswerten aus der Preisschätzung.",L8)))</formula>
    </cfRule>
  </conditionalFormatting>
  <conditionalFormatting sqref="L9">
    <cfRule type="containsText" dxfId="132" priority="5" operator="containsText" text="Bitte prüfen Sie diese.">
      <formula>NOT(ISERROR(SEARCH("Bitte prüfen Sie diese.",L9)))</formula>
    </cfRule>
  </conditionalFormatting>
  <conditionalFormatting sqref="L10">
    <cfRule type="containsText" dxfId="131" priority="4" operator="containsText" text="Beachten Sie, dass Sie frei in der Kalkulation dieser Leistungswerte sind und wir durch den Hinweis">
      <formula>NOT(ISERROR(SEARCH("Beachten Sie, dass Sie frei in der Kalkulation dieser Leistungswerte sind und wir durch den Hinweis",L10)))</formula>
    </cfRule>
  </conditionalFormatting>
  <conditionalFormatting sqref="L11">
    <cfRule type="containsText" dxfId="130" priority="3" operator="containsText" text="lediglich Fehleingaben vermeiden wollen.">
      <formula>NOT(ISERROR(SEARCH("lediglich Fehleingaben vermeiden wollen.",L11)))</formula>
    </cfRule>
  </conditionalFormatting>
  <conditionalFormatting sqref="M11">
    <cfRule type="containsText" dxfId="129" priority="7" operator="containsText" text="Es sind Leistungsrichtwerte (LRW) für jede Reinigungsgruppe festgelegt.">
      <formula>NOT(ISERROR(SEARCH("Es sind Leistungsrichtwerte (LRW) für jede Reinigungsgruppe festgelegt.",M11)))</formula>
    </cfRule>
  </conditionalFormatting>
  <conditionalFormatting sqref="N13">
    <cfRule type="expression" dxfId="128" priority="2" stopIfTrue="1">
      <formula>N13=0</formula>
    </cfRule>
  </conditionalFormatting>
  <conditionalFormatting sqref="N14">
    <cfRule type="expression" dxfId="127" priority="1">
      <formula>N14=0</formula>
    </cfRule>
  </conditionalFormatting>
  <conditionalFormatting sqref="N22:N46">
    <cfRule type="expression" dxfId="126" priority="10">
      <formula>X22=0</formula>
    </cfRule>
    <cfRule type="expression" dxfId="125" priority="11" stopIfTrue="1">
      <formula>X22=1</formula>
    </cfRule>
  </conditionalFormatting>
  <conditionalFormatting sqref="O13">
    <cfRule type="containsText" dxfId="124" priority="9" stopIfTrue="1" operator="containsText" text="Wert(e) überschritten, bitte mit dem Angebot plausibel darlegen.">
      <formula>NOT(ISERROR(SEARCH("Wert(e) überschritten, bitte mit dem Angebot plausibel darlegen.",O13)))</formula>
    </cfRule>
  </conditionalFormatting>
  <conditionalFormatting sqref="O14">
    <cfRule type="containsText" dxfId="123" priority="8" operator="containsText" text="Wert(e) prüfen.">
      <formula>NOT(ISERROR(SEARCH("Wert(e) prüfen.",O14)))</formula>
    </cfRule>
  </conditionalFormatting>
  <conditionalFormatting sqref="S22:S46">
    <cfRule type="containsText" dxfId="122" priority="12" stopIfTrue="1" operator="containsText" text="SVS prüfen">
      <formula>NOT(ISERROR(SEARCH("SVS prüfen",S22)))</formula>
    </cfRule>
    <cfRule type="containsText" dxfId="121" priority="13" stopIfTrue="1" operator="containsText" text="Leistungswert eintragen">
      <formula>NOT(ISERROR(SEARCH("Leistungswert eintragen",S22)))</formula>
    </cfRule>
  </conditionalFormatting>
  <hyperlinks>
    <hyperlink ref="M1" location="Inhaltsverzeichnis!A1" display="Zurück zum Inhaltsverzeichnis" xr:uid="{10FBB50A-BCF7-4EDC-92C0-A6E75AAFC193}"/>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&amp;RKal Grund Lehrschwimmbad&amp;LStadt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nchor moveWithCells="1">
                  <from>
                    <xdr:col>12</xdr:col>
                    <xdr:colOff>0</xdr:colOff>
                    <xdr:row>1</xdr:row>
                    <xdr:rowOff>0</xdr:rowOff>
                  </from>
                  <to>
                    <xdr:col>13</xdr:col>
                    <xdr:colOff>0</xdr:colOff>
                    <xdr:row>1</xdr:row>
                    <xdr:rowOff>228600</xdr:rowOff>
                  </to>
                </anchor>
              </controlPr>
            </control>
          </mc:Choice>
        </mc:AlternateContent>
        <mc:AlternateContent xmlns:mc="http://schemas.openxmlformats.org/markup-compatibility/2006">
          <mc:Choice Requires="x14">
            <control shapeId="104450" r:id="rId5" name="Check Box 2">
              <controlPr defaultSize="0" autoFill="0" autoLine="0" autoPict="0" altText="Hinweis 2">
                <anchor moveWithCells="1">
                  <from>
                    <xdr:col>12</xdr:col>
                    <xdr:colOff>0</xdr:colOff>
                    <xdr:row>1</xdr:row>
                    <xdr:rowOff>238125</xdr:rowOff>
                  </from>
                  <to>
                    <xdr:col>13</xdr:col>
                    <xdr:colOff>0</xdr:colOff>
                    <xdr:row>2</xdr:row>
                    <xdr:rowOff>209550</xdr:rowOff>
                  </to>
                </anchor>
              </controlPr>
            </control>
          </mc:Choice>
        </mc:AlternateContent>
        <mc:AlternateContent xmlns:mc="http://schemas.openxmlformats.org/markup-compatibility/2006">
          <mc:Choice Requires="x14">
            <control shapeId="104451" r:id="rId6" name="Check Box 3">
              <controlPr defaultSize="0" autoFill="0" autoLine="0" autoPict="0" altText="Hinweis 3">
                <anchor moveWithCells="1">
                  <from>
                    <xdr:col>12</xdr:col>
                    <xdr:colOff>0</xdr:colOff>
                    <xdr:row>2</xdr:row>
                    <xdr:rowOff>219075</xdr:rowOff>
                  </from>
                  <to>
                    <xdr:col>13</xdr:col>
                    <xdr:colOff>0</xdr:colOff>
                    <xdr:row>3</xdr:row>
                    <xdr:rowOff>142875</xdr:rowOff>
                  </to>
                </anchor>
              </controlPr>
            </control>
          </mc:Choice>
        </mc:AlternateContent>
        <mc:AlternateContent xmlns:mc="http://schemas.openxmlformats.org/markup-compatibility/2006">
          <mc:Choice Requires="x14">
            <control shapeId="104452" r:id="rId7" name="Check Box 4">
              <controlPr defaultSize="0" autoFill="0" autoLine="0" autoPict="0" altText="Hinweis 3">
                <anchor moveWithCells="1">
                  <from>
                    <xdr:col>12</xdr:col>
                    <xdr:colOff>0</xdr:colOff>
                    <xdr:row>3</xdr:row>
                    <xdr:rowOff>152400</xdr:rowOff>
                  </from>
                  <to>
                    <xdr:col>13</xdr:col>
                    <xdr:colOff>0</xdr:colOff>
                    <xdr:row>4</xdr:row>
                    <xdr:rowOff>152400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8385B-9C09-4C0F-AC9D-57BFDFD5964A}">
  <sheetPr codeName="Tabelle34">
    <tabColor indexed="40"/>
  </sheetPr>
  <dimension ref="A1:U24"/>
  <sheetViews>
    <sheetView showGridLines="0" zoomScaleNormal="100" workbookViewId="0">
      <pane ySplit="21" topLeftCell="A22" activePane="bottomLeft" state="frozen"/>
      <selection pane="bottomLeft"/>
    </sheetView>
  </sheetViews>
  <sheetFormatPr baseColWidth="10" defaultColWidth="0" defaultRowHeight="15" customHeight="1" x14ac:dyDescent="0.2"/>
  <cols>
    <col min="1" max="1" width="11.7109375" style="3" customWidth="1"/>
    <col min="2" max="2" width="7.7109375" style="3" customWidth="1"/>
    <col min="3" max="3" width="5.7109375" style="3" customWidth="1"/>
    <col min="4" max="4" width="8.28515625" style="3" customWidth="1"/>
    <col min="5" max="5" width="21.7109375" style="3" customWidth="1"/>
    <col min="6" max="6" width="13.5703125" style="3" bestFit="1" customWidth="1"/>
    <col min="7" max="7" width="10.7109375" style="3" customWidth="1"/>
    <col min="8" max="8" width="9.7109375" style="3" customWidth="1"/>
    <col min="9" max="9" width="11.7109375" style="3" customWidth="1"/>
    <col min="10" max="10" width="10.5703125" style="3" bestFit="1" customWidth="1"/>
    <col min="11" max="11" width="7.85546875" style="3" customWidth="1"/>
    <col min="12" max="12" width="8.7109375" style="3" customWidth="1"/>
    <col min="13" max="13" width="12.140625" style="3" customWidth="1"/>
    <col min="14" max="14" width="9.42578125" style="3" customWidth="1"/>
    <col min="15" max="15" width="8.42578125" style="3" customWidth="1"/>
    <col min="16" max="17" width="11.42578125" style="3" customWidth="1"/>
    <col min="18" max="19" width="11.28515625" style="3" customWidth="1"/>
    <col min="20" max="20" width="22.28515625" style="3" customWidth="1"/>
    <col min="21" max="21" width="0" style="3" hidden="1" customWidth="1"/>
    <col min="22" max="16384" width="11.42578125" style="3" hidden="1"/>
  </cols>
  <sheetData>
    <row r="1" spans="1:21" ht="15" customHeight="1" x14ac:dyDescent="0.2">
      <c r="M1" s="5" t="s">
        <v>100</v>
      </c>
    </row>
    <row r="2" spans="1:21" ht="21" customHeight="1" x14ac:dyDescent="0.2">
      <c r="A2" s="217" t="s">
        <v>177</v>
      </c>
      <c r="B2" s="218"/>
      <c r="C2" s="218"/>
      <c r="D2" s="218" t="b">
        <v>0</v>
      </c>
      <c r="E2" s="219"/>
      <c r="G2" s="220" t="s">
        <v>190</v>
      </c>
      <c r="H2" s="220" t="s">
        <v>182</v>
      </c>
      <c r="I2" s="220" t="s">
        <v>183</v>
      </c>
      <c r="J2" s="220" t="s">
        <v>202</v>
      </c>
      <c r="M2" s="23" t="b">
        <v>0</v>
      </c>
      <c r="N2" s="192" t="str">
        <f>IF(M2=TRUE,"Bitte tragen Sie Ihre Leistungswerte in die gelben Zellen direkt unter der Zelle Leistungswerte (m²/h) ein. Die Leistungswerte werden automatisch in die untere Kalkulation übernommen. Die linke Tabelle ist lediglich eine Ausfüllhilfe.",IF(M3=TRUE,"Wenn eine Jahresreinigungsfläche für eine Reinigungsgruppe mit 0 angegeben ist, brauchen Sie den Leistungswert nicht auszufüllen. Es schadet aber nichts, wenn Sie es trotzdem tun.",IF(M4=TRUE,"Sie können in der Kalkulationstabelle (unten) in jedem einzelnen Raum die Leistungswerte (gelbe Zellen) beliebig oft individuell anpassen. Mit dem individuellen Überschreiben wird die Verknüpfung zu den Leistungswerten in der obigen Tabelle aufgehoben.",IF( M5=TRUE,"Die rot markierten Informationen sind auch lediglich eine Unterstützung. Sie erscheinen, wenn gelbe Zellen in dieser Tabelle oder in den Stundenverrechnungssätzen (SVS) nicht ausgefüllt sind. Wenn keine rote Schrift mehr da ist, ist alles vollständig.",""))))</f>
        <v/>
      </c>
      <c r="O2" s="192"/>
      <c r="P2" s="192"/>
      <c r="Q2" s="192"/>
    </row>
    <row r="3" spans="1:21" ht="21" customHeight="1" x14ac:dyDescent="0.2">
      <c r="A3" s="154" t="s">
        <v>178</v>
      </c>
      <c r="B3" s="155"/>
      <c r="C3" s="155"/>
      <c r="D3" s="155"/>
      <c r="E3" s="156"/>
      <c r="G3" s="221"/>
      <c r="H3" s="221" t="b">
        <v>0</v>
      </c>
      <c r="I3" s="221"/>
      <c r="J3" s="221"/>
      <c r="M3" s="23" t="b">
        <v>0</v>
      </c>
      <c r="N3" s="192"/>
      <c r="O3" s="192"/>
      <c r="P3" s="192"/>
      <c r="Q3" s="192"/>
    </row>
    <row r="4" spans="1:21" ht="15" customHeight="1" x14ac:dyDescent="0.2">
      <c r="A4" s="215" t="s">
        <v>91</v>
      </c>
      <c r="B4" s="225" t="str">
        <f>IF(Inhaltsverzeichnis!C3="","",Inhaltsverzeichnis!C3)</f>
        <v/>
      </c>
      <c r="C4" s="226"/>
      <c r="D4" s="226"/>
      <c r="E4" s="227"/>
      <c r="G4" s="153" t="s">
        <v>314</v>
      </c>
      <c r="H4" s="157"/>
      <c r="I4" s="158">
        <f ca="1">SUMIF('Kal Unter öffentl WC'!J22:M24,$G$4,'Kal Unter öffentl WC'!M22:M24)</f>
        <v>9482.1</v>
      </c>
      <c r="J4" s="118">
        <f>COUNTIFS('Kal Unter öffentl WC'!J22:M24,$G$4)</f>
        <v>3</v>
      </c>
      <c r="M4" s="23" t="b">
        <v>0</v>
      </c>
      <c r="N4" s="192"/>
      <c r="O4" s="192"/>
      <c r="P4" s="192"/>
      <c r="Q4" s="192"/>
      <c r="U4" s="153" t="s">
        <v>314</v>
      </c>
    </row>
    <row r="5" spans="1:21" ht="15" customHeight="1" x14ac:dyDescent="0.2">
      <c r="A5" s="216"/>
      <c r="B5" s="228"/>
      <c r="C5" s="229"/>
      <c r="D5" s="229"/>
      <c r="E5" s="230"/>
      <c r="M5" s="23" t="b">
        <v>0</v>
      </c>
      <c r="N5" s="192"/>
      <c r="O5" s="192"/>
      <c r="P5" s="192"/>
      <c r="Q5" s="192"/>
    </row>
    <row r="6" spans="1:21" ht="15" customHeight="1" x14ac:dyDescent="0.2">
      <c r="A6" s="159" t="s">
        <v>200</v>
      </c>
      <c r="B6" s="231" t="s">
        <v>245</v>
      </c>
      <c r="C6" s="232"/>
      <c r="D6" s="232"/>
      <c r="E6" s="233"/>
      <c r="G6" s="152"/>
    </row>
    <row r="7" spans="1:21" ht="15" customHeight="1" x14ac:dyDescent="0.2">
      <c r="A7" s="160" t="s">
        <v>198</v>
      </c>
      <c r="B7" s="234" t="s">
        <v>257</v>
      </c>
      <c r="C7" s="232"/>
      <c r="D7" s="232"/>
      <c r="E7" s="233"/>
    </row>
    <row r="8" spans="1:21" ht="15" customHeight="1" x14ac:dyDescent="0.2">
      <c r="A8" s="160" t="s">
        <v>199</v>
      </c>
      <c r="B8" s="231"/>
      <c r="C8" s="232"/>
      <c r="D8" s="232"/>
      <c r="E8" s="233"/>
    </row>
    <row r="9" spans="1:21" ht="15" customHeight="1" x14ac:dyDescent="0.2">
      <c r="A9" s="159" t="s">
        <v>197</v>
      </c>
      <c r="B9" s="235" t="s">
        <v>256</v>
      </c>
      <c r="C9" s="232"/>
      <c r="D9" s="232"/>
      <c r="E9" s="233"/>
    </row>
    <row r="10" spans="1:21" ht="15" customHeight="1" x14ac:dyDescent="0.2">
      <c r="A10" s="160" t="s">
        <v>179</v>
      </c>
      <c r="B10" s="231" t="s">
        <v>258</v>
      </c>
      <c r="C10" s="232"/>
      <c r="D10" s="232"/>
      <c r="E10" s="233"/>
    </row>
    <row r="11" spans="1:21" ht="15" customHeight="1" x14ac:dyDescent="0.2">
      <c r="A11" s="160" t="s">
        <v>180</v>
      </c>
      <c r="B11" s="236" t="s">
        <v>248</v>
      </c>
      <c r="C11" s="232"/>
      <c r="D11" s="232"/>
      <c r="E11" s="233"/>
    </row>
    <row r="12" spans="1:21" ht="15" customHeight="1" x14ac:dyDescent="0.2">
      <c r="A12" s="160" t="s">
        <v>181</v>
      </c>
      <c r="B12" s="231" t="s">
        <v>249</v>
      </c>
      <c r="C12" s="232"/>
      <c r="D12" s="232"/>
      <c r="E12" s="233"/>
    </row>
    <row r="13" spans="1:21" ht="15" customHeight="1" x14ac:dyDescent="0.2">
      <c r="A13" s="160" t="s">
        <v>184</v>
      </c>
      <c r="B13" s="222" t="str">
        <f>HYPERLINK("http://maps.google.de/maps?hl=de&amp;bav=on.2,or.r_qf.&amp;bvm=bv.44770516,d.Yms&amp;biw=1395&amp;bih=916&amp;um=1&amp;ie=UTF-8&amp;q="&amp;B7&amp;"+"&amp;B8&amp;"+"&amp;B10&amp;"+"&amp;B11&amp;"+"&amp;B12&amp;"","In Google-Maps anzeigen (wenn Internet verfügbar)")</f>
        <v>In Google-Maps anzeigen (wenn Internet verfügbar)</v>
      </c>
      <c r="C13" s="223"/>
      <c r="D13" s="223"/>
      <c r="E13" s="224"/>
    </row>
    <row r="14" spans="1:21" ht="15" customHeight="1" x14ac:dyDescent="0.2">
      <c r="T14" s="161">
        <f>IF(COUNTA($T$22:$T$24)-COUNTBLANK($T$22:$T$24)=0,"",COUNTA($T$22:$T$24)-COUNTBLANK($T$22:$T$24))</f>
        <v>3</v>
      </c>
    </row>
    <row r="15" spans="1:21" ht="15" hidden="1" customHeight="1" x14ac:dyDescent="0.2"/>
    <row r="16" spans="1:21" ht="15" hidden="1" customHeight="1" x14ac:dyDescent="0.2"/>
    <row r="17" spans="1:21" ht="15" hidden="1" customHeight="1" x14ac:dyDescent="0.2"/>
    <row r="18" spans="1:21" ht="15" hidden="1" customHeight="1" x14ac:dyDescent="0.2"/>
    <row r="19" spans="1:21" ht="15" hidden="1" customHeight="1" x14ac:dyDescent="0.2"/>
    <row r="20" spans="1:21" ht="45" customHeight="1" x14ac:dyDescent="0.2">
      <c r="A20" s="1" t="s">
        <v>92</v>
      </c>
      <c r="B20" s="1" t="s">
        <v>97</v>
      </c>
      <c r="C20" s="1" t="s">
        <v>93</v>
      </c>
      <c r="D20" s="1" t="s">
        <v>94</v>
      </c>
      <c r="E20" s="1" t="s">
        <v>98</v>
      </c>
      <c r="F20" s="1" t="s">
        <v>95</v>
      </c>
      <c r="G20" s="1" t="s">
        <v>121</v>
      </c>
      <c r="H20" s="1" t="s">
        <v>108</v>
      </c>
      <c r="I20" s="1" t="s">
        <v>109</v>
      </c>
      <c r="J20" s="1" t="s">
        <v>99</v>
      </c>
      <c r="K20" s="1" t="s">
        <v>106</v>
      </c>
      <c r="L20" s="1" t="s">
        <v>141</v>
      </c>
      <c r="M20" s="1" t="s">
        <v>111</v>
      </c>
      <c r="N20" s="1" t="s">
        <v>107</v>
      </c>
      <c r="O20" s="1" t="s">
        <v>112</v>
      </c>
      <c r="P20" s="1" t="s">
        <v>113</v>
      </c>
      <c r="Q20" s="1" t="s">
        <v>114</v>
      </c>
      <c r="R20" s="1" t="s">
        <v>201</v>
      </c>
      <c r="S20" s="1" t="s">
        <v>140</v>
      </c>
    </row>
    <row r="21" spans="1:21" ht="29.1" customHeight="1" x14ac:dyDescent="0.2">
      <c r="A21" s="162" t="s">
        <v>125</v>
      </c>
      <c r="B21" s="14"/>
      <c r="C21" s="14"/>
      <c r="D21" s="14"/>
      <c r="E21" s="14"/>
      <c r="F21" s="14"/>
      <c r="G21" s="163">
        <f>SUM($G$22:$G$24)</f>
        <v>31.259999999999998</v>
      </c>
      <c r="H21" s="163">
        <f>SUM($H$22:$H$24)</f>
        <v>0</v>
      </c>
      <c r="I21" s="163">
        <f>SUM($I$22:$I$24)</f>
        <v>0</v>
      </c>
      <c r="J21" s="95"/>
      <c r="K21" s="95"/>
      <c r="L21" s="164">
        <f>MAX(L22:L24)</f>
        <v>303.33</v>
      </c>
      <c r="M21" s="163">
        <f>SUM($M$22:$M$24)</f>
        <v>9482.1</v>
      </c>
      <c r="N21" s="95"/>
      <c r="O21" s="95"/>
      <c r="P21" s="163">
        <f>SUM($P$22:$P$24)</f>
        <v>0</v>
      </c>
      <c r="Q21" s="163">
        <f>SUM($Q$22:$Q$24)</f>
        <v>0</v>
      </c>
      <c r="R21" s="163">
        <f>ROUND(IF(L21=0,0,P21/L21),2)</f>
        <v>0</v>
      </c>
      <c r="S21" s="163">
        <f>ROUND(IF(L21=0,0,Q21/L21),2)</f>
        <v>0</v>
      </c>
    </row>
    <row r="22" spans="1:21" ht="15" customHeight="1" x14ac:dyDescent="0.2">
      <c r="A22" s="153">
        <v>1</v>
      </c>
      <c r="B22" s="165"/>
      <c r="C22" s="166" t="s">
        <v>276</v>
      </c>
      <c r="D22" s="166" t="s">
        <v>265</v>
      </c>
      <c r="E22" s="166" t="s">
        <v>296</v>
      </c>
      <c r="F22" s="166" t="s">
        <v>476</v>
      </c>
      <c r="G22" s="167">
        <v>6.69</v>
      </c>
      <c r="H22" s="167"/>
      <c r="I22" s="167"/>
      <c r="J22" s="153" t="s">
        <v>314</v>
      </c>
      <c r="K22" s="167">
        <v>6</v>
      </c>
      <c r="L22" s="95">
        <f>VLOOKUP(K22,Reinigungstage!A10:F31,6,FALSE)</f>
        <v>303.33</v>
      </c>
      <c r="M22" s="95">
        <f>ROUND(IF(L22=0,0,L22*G22),2)</f>
        <v>2029.28</v>
      </c>
      <c r="N22" s="168">
        <f>VLOOKUP(J22,$G$4:$H$4,2,FALSE)</f>
        <v>0</v>
      </c>
      <c r="O22" s="95">
        <f>IF('SVS UnterhaltsRG öff WC'!$H$63="",0,'SVS UnterhaltsRG öff WC'!$H$63)</f>
        <v>0</v>
      </c>
      <c r="P22" s="95">
        <f>ROUND(IF(N22=0,0,M22/N22),2)</f>
        <v>0</v>
      </c>
      <c r="Q22" s="95">
        <f>IF(M22=0,0,IF(O22="",0,ROUND(P22*O22,2)))</f>
        <v>0</v>
      </c>
      <c r="R22" s="95">
        <f>ROUND(IF(P22=0,0,P22/L22),2)</f>
        <v>0</v>
      </c>
      <c r="S22" s="95">
        <f>ROUND(IF(Q22=0,0,Q22/L22),2)</f>
        <v>0</v>
      </c>
      <c r="T22" s="3" t="str">
        <f>IF(M22=0,"",IF(N22=0,"Leistungswert eintragen",IF(O22=0,"SVS prüfen","")))</f>
        <v>Leistungswert eintragen</v>
      </c>
      <c r="U22" s="3">
        <f>VLOOKUP(J22,$U$4:$V$4,2,FALSE)</f>
        <v>0</v>
      </c>
    </row>
    <row r="23" spans="1:21" ht="15" customHeight="1" x14ac:dyDescent="0.2">
      <c r="A23" s="153">
        <v>2</v>
      </c>
      <c r="B23" s="165"/>
      <c r="C23" s="166" t="s">
        <v>276</v>
      </c>
      <c r="D23" s="166" t="s">
        <v>265</v>
      </c>
      <c r="E23" s="166" t="s">
        <v>381</v>
      </c>
      <c r="F23" s="166" t="s">
        <v>476</v>
      </c>
      <c r="G23" s="167">
        <v>13.9</v>
      </c>
      <c r="H23" s="167"/>
      <c r="I23" s="167"/>
      <c r="J23" s="153" t="s">
        <v>314</v>
      </c>
      <c r="K23" s="167">
        <v>6</v>
      </c>
      <c r="L23" s="95">
        <f>VLOOKUP(K23,Reinigungstage!A10:F31,6,FALSE)</f>
        <v>303.33</v>
      </c>
      <c r="M23" s="95">
        <f>ROUND(IF(L23=0,0,L23*G23),2)</f>
        <v>4216.29</v>
      </c>
      <c r="N23" s="168">
        <f>VLOOKUP(J23,$G$4:$H$4,2,FALSE)</f>
        <v>0</v>
      </c>
      <c r="O23" s="95">
        <f>IF('SVS UnterhaltsRG öff WC'!$H$63="",0,'SVS UnterhaltsRG öff WC'!$H$63)</f>
        <v>0</v>
      </c>
      <c r="P23" s="95">
        <f>ROUND(IF(N23=0,0,M23/N23),2)</f>
        <v>0</v>
      </c>
      <c r="Q23" s="95">
        <f>IF(M23=0,0,IF(O23="",0,ROUND(P23*O23,2)))</f>
        <v>0</v>
      </c>
      <c r="R23" s="95">
        <f>ROUND(IF(P23=0,0,P23/L23),2)</f>
        <v>0</v>
      </c>
      <c r="S23" s="95">
        <f>ROUND(IF(Q23=0,0,Q23/L23),2)</f>
        <v>0</v>
      </c>
      <c r="T23" s="3" t="str">
        <f>IF(M23=0,"",IF(N23=0,"Leistungswert eintragen",IF(O23=0,"SVS prüfen","")))</f>
        <v>Leistungswert eintragen</v>
      </c>
      <c r="U23" s="3">
        <f>VLOOKUP(J23,$U$4:$V$4,2,FALSE)</f>
        <v>0</v>
      </c>
    </row>
    <row r="24" spans="1:21" ht="15" customHeight="1" x14ac:dyDescent="0.2">
      <c r="A24" s="153">
        <v>3</v>
      </c>
      <c r="B24" s="165"/>
      <c r="C24" s="166" t="s">
        <v>276</v>
      </c>
      <c r="D24" s="166" t="s">
        <v>265</v>
      </c>
      <c r="E24" s="166" t="s">
        <v>380</v>
      </c>
      <c r="F24" s="166" t="s">
        <v>476</v>
      </c>
      <c r="G24" s="167">
        <v>10.67</v>
      </c>
      <c r="H24" s="167"/>
      <c r="I24" s="167"/>
      <c r="J24" s="153" t="s">
        <v>314</v>
      </c>
      <c r="K24" s="167">
        <v>6</v>
      </c>
      <c r="L24" s="95">
        <f>VLOOKUP(K24,Reinigungstage!A10:F31,6,FALSE)</f>
        <v>303.33</v>
      </c>
      <c r="M24" s="95">
        <f>ROUND(IF(L24=0,0,L24*G24),2)</f>
        <v>3236.53</v>
      </c>
      <c r="N24" s="168">
        <f>VLOOKUP(J24,$G$4:$H$4,2,FALSE)</f>
        <v>0</v>
      </c>
      <c r="O24" s="95">
        <f>IF('SVS UnterhaltsRG öff WC'!$H$63="",0,'SVS UnterhaltsRG öff WC'!$H$63)</f>
        <v>0</v>
      </c>
      <c r="P24" s="95">
        <f>ROUND(IF(N24=0,0,M24/N24),2)</f>
        <v>0</v>
      </c>
      <c r="Q24" s="95">
        <f>IF(M24=0,0,IF(O24="",0,ROUND(P24*O24,2)))</f>
        <v>0</v>
      </c>
      <c r="R24" s="95">
        <f>ROUND(IF(P24=0,0,P24/L24),2)</f>
        <v>0</v>
      </c>
      <c r="S24" s="95">
        <f>ROUND(IF(Q24=0,0,Q24/L24),2)</f>
        <v>0</v>
      </c>
      <c r="T24" s="3" t="str">
        <f>IF(M24=0,"",IF(N24=0,"Leistungswert eintragen",IF(O24=0,"SVS prüfen","")))</f>
        <v>Leistungswert eintragen</v>
      </c>
      <c r="U24" s="3">
        <f>VLOOKUP(J24,$U$4:$V$4,2,FALSE)</f>
        <v>0</v>
      </c>
    </row>
  </sheetData>
  <sheetProtection algorithmName="SHA-512" hashValue="rSIdEkoyzvJMKB9/gs/oAyLodBA5NbojiPdtnoeGrh2+ECeYqhtcdoKd+l5EFPWKUjTr0oHa8ayhXwuy7h+IuQ==" saltValue="jhd7MUPAiDwNT95NI3lq/g==" spinCount="100000" sheet="1" objects="1" scenarios="1"/>
  <mergeCells count="16">
    <mergeCell ref="B13:E13"/>
    <mergeCell ref="B4:E5"/>
    <mergeCell ref="B6:E6"/>
    <mergeCell ref="B7:E7"/>
    <mergeCell ref="B8:E8"/>
    <mergeCell ref="B9:E9"/>
    <mergeCell ref="B10:E10"/>
    <mergeCell ref="B11:E11"/>
    <mergeCell ref="B12:E12"/>
    <mergeCell ref="N2:Q5"/>
    <mergeCell ref="A4:A5"/>
    <mergeCell ref="A2:E2"/>
    <mergeCell ref="G2:G3"/>
    <mergeCell ref="H2:H3"/>
    <mergeCell ref="I2:I3"/>
    <mergeCell ref="J2:J3"/>
  </mergeCells>
  <conditionalFormatting sqref="T22:T24">
    <cfRule type="containsText" dxfId="120" priority="1" stopIfTrue="1" operator="containsText" text="SVS prüfen">
      <formula>NOT(ISERROR(SEARCH("SVS prüfen",T22)))</formula>
    </cfRule>
    <cfRule type="containsText" dxfId="119" priority="2" stopIfTrue="1" operator="containsText" text="Leistungswert eintragen">
      <formula>NOT(ISERROR(SEARCH("Leistungswert eintragen",T22)))</formula>
    </cfRule>
  </conditionalFormatting>
  <hyperlinks>
    <hyperlink ref="M1" location="Inhaltsverzeichnis!A1" display="Zurück zum Inhaltsverzeichnis" xr:uid="{840F3F70-9953-41BA-BBD9-FFF93757DA21}"/>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&amp;RKal Unter öffentl WC&amp;LStadt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sizeWithCells="1">
                  <from>
                    <xdr:col>12</xdr:col>
                    <xdr:colOff>19050</xdr:colOff>
                    <xdr:row>1</xdr:row>
                    <xdr:rowOff>38100</xdr:rowOff>
                  </from>
                  <to>
                    <xdr:col>12</xdr:col>
                    <xdr:colOff>809625</xdr:colOff>
                    <xdr:row>2</xdr:row>
                    <xdr:rowOff>19050</xdr:rowOff>
                  </to>
                </anchor>
              </controlPr>
            </control>
          </mc:Choice>
        </mc:AlternateContent>
        <mc:AlternateContent xmlns:mc="http://schemas.openxmlformats.org/markup-compatibility/2006">
          <mc:Choice Requires="x14">
            <control shapeId="93186" r:id="rId5" name="Check Box 2">
              <controlPr defaultSize="0" autoFill="0" autoLine="0" autoPict="0" altText="Hinweis 2">
                <anchor moveWithCells="1" sizeWithCells="1">
                  <from>
                    <xdr:col>12</xdr:col>
                    <xdr:colOff>19050</xdr:colOff>
                    <xdr:row>2</xdr:row>
                    <xdr:rowOff>19050</xdr:rowOff>
                  </from>
                  <to>
                    <xdr:col>12</xdr:col>
                    <xdr:colOff>809625</xdr:colOff>
                    <xdr:row>2</xdr:row>
                    <xdr:rowOff>266700</xdr:rowOff>
                  </to>
                </anchor>
              </controlPr>
            </control>
          </mc:Choice>
        </mc:AlternateContent>
        <mc:AlternateContent xmlns:mc="http://schemas.openxmlformats.org/markup-compatibility/2006">
          <mc:Choice Requires="x14">
            <control shapeId="93187" r:id="rId6" name="Check Box 3">
              <controlPr defaultSize="0" autoFill="0" autoLine="0" autoPict="0" altText="Hinweis 3">
                <anchor moveWithCells="1" sizeWithCells="1">
                  <from>
                    <xdr:col>12</xdr:col>
                    <xdr:colOff>19050</xdr:colOff>
                    <xdr:row>3</xdr:row>
                    <xdr:rowOff>9525</xdr:rowOff>
                  </from>
                  <to>
                    <xdr:col>12</xdr:col>
                    <xdr:colOff>809625</xdr:colOff>
                    <xdr:row>4</xdr:row>
                    <xdr:rowOff>57150</xdr:rowOff>
                  </to>
                </anchor>
              </controlPr>
            </control>
          </mc:Choice>
        </mc:AlternateContent>
        <mc:AlternateContent xmlns:mc="http://schemas.openxmlformats.org/markup-compatibility/2006">
          <mc:Choice Requires="x14">
            <control shapeId="93188" r:id="rId7" name="Check Box 4">
              <controlPr defaultSize="0" autoFill="0" autoLine="0" autoPict="0" altText="Hinweis 3">
                <anchor moveWithCells="1" sizeWithCells="1">
                  <from>
                    <xdr:col>12</xdr:col>
                    <xdr:colOff>19050</xdr:colOff>
                    <xdr:row>4</xdr:row>
                    <xdr:rowOff>66675</xdr:rowOff>
                  </from>
                  <to>
                    <xdr:col>12</xdr:col>
                    <xdr:colOff>809625</xdr:colOff>
                    <xdr:row>5</xdr:row>
                    <xdr:rowOff>123825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DF46B-94E2-444F-8E89-B7E4E19DFEA2}">
  <sheetPr codeName="Tabelle48">
    <tabColor indexed="40"/>
  </sheetPr>
  <dimension ref="A1:U24"/>
  <sheetViews>
    <sheetView showGridLines="0" zoomScaleNormal="100" workbookViewId="0">
      <pane ySplit="21" topLeftCell="A22" activePane="bottomLeft" state="frozen"/>
      <selection pane="bottomLeft"/>
    </sheetView>
  </sheetViews>
  <sheetFormatPr baseColWidth="10" defaultColWidth="0" defaultRowHeight="15" customHeight="1" x14ac:dyDescent="0.2"/>
  <cols>
    <col min="1" max="1" width="11.7109375" style="3" customWidth="1"/>
    <col min="2" max="2" width="7.7109375" style="3" customWidth="1"/>
    <col min="3" max="3" width="5.7109375" style="3" customWidth="1"/>
    <col min="4" max="4" width="8.28515625" style="3" customWidth="1"/>
    <col min="5" max="5" width="21.7109375" style="3" customWidth="1"/>
    <col min="6" max="6" width="13.5703125" style="3" bestFit="1" customWidth="1"/>
    <col min="7" max="7" width="10.7109375" style="3" customWidth="1"/>
    <col min="8" max="8" width="9.7109375" style="3" customWidth="1"/>
    <col min="9" max="9" width="11.7109375" style="3" customWidth="1"/>
    <col min="10" max="10" width="10.5703125" style="3" bestFit="1" customWidth="1"/>
    <col min="11" max="11" width="7.85546875" style="3" customWidth="1"/>
    <col min="12" max="12" width="8.7109375" style="3" customWidth="1"/>
    <col min="13" max="13" width="12.140625" style="3" customWidth="1"/>
    <col min="14" max="14" width="9.42578125" style="3" customWidth="1"/>
    <col min="15" max="15" width="8.42578125" style="3" customWidth="1"/>
    <col min="16" max="17" width="11.42578125" style="3" customWidth="1"/>
    <col min="18" max="19" width="11.28515625" style="3" customWidth="1"/>
    <col min="20" max="20" width="22.28515625" style="3" customWidth="1"/>
    <col min="21" max="21" width="0" style="3" hidden="1" customWidth="1"/>
    <col min="22" max="16384" width="11.42578125" style="3" hidden="1"/>
  </cols>
  <sheetData>
    <row r="1" spans="1:21" ht="15" customHeight="1" x14ac:dyDescent="0.2">
      <c r="M1" s="5" t="s">
        <v>100</v>
      </c>
    </row>
    <row r="2" spans="1:21" ht="21" customHeight="1" x14ac:dyDescent="0.2">
      <c r="A2" s="217" t="s">
        <v>177</v>
      </c>
      <c r="B2" s="218"/>
      <c r="C2" s="218"/>
      <c r="D2" s="218" t="b">
        <v>0</v>
      </c>
      <c r="E2" s="219"/>
      <c r="G2" s="220" t="s">
        <v>190</v>
      </c>
      <c r="H2" s="220" t="s">
        <v>182</v>
      </c>
      <c r="I2" s="220" t="s">
        <v>183</v>
      </c>
      <c r="J2" s="220" t="s">
        <v>202</v>
      </c>
      <c r="M2" s="23" t="b">
        <v>0</v>
      </c>
      <c r="N2" s="192" t="str">
        <f>IF(M2=TRUE,"Bitte tragen Sie Ihre Leistungswerte in die gelben Zellen direkt unter der Zelle Leistungswerte (m²/h) ein. Die Leistungswerte werden automatisch in die untere Kalkulation übernommen. Die linke Tabelle ist lediglich eine Ausfüllhilfe.",IF(M3=TRUE,"Wenn eine Jahresreinigungsfläche für eine Reinigungsgruppe mit 0 angegeben ist, brauchen Sie den Leistungswert nicht auszufüllen. Es schadet aber nichts, wenn Sie es trotzdem tun.",IF(M4=TRUE,"Sie können in der Kalkulationstabelle (unten) in jedem einzelnen Raum die Leistungswerte (gelbe Zellen) beliebig oft individuell anpassen. Mit dem individuellen Überschreiben wird die Verknüpfung zu den Leistungswerten in der obigen Tabelle aufgehoben.",IF( M5=TRUE,"Die rot markierten Informationen sind auch lediglich eine Unterstützung. Sie erscheinen, wenn gelbe Zellen in dieser Tabelle oder in den Stundenverrechnungssätzen (SVS) nicht ausgefüllt sind. Wenn keine rote Schrift mehr da ist, ist alles vollständig.",""))))</f>
        <v/>
      </c>
      <c r="O2" s="192"/>
      <c r="P2" s="192"/>
      <c r="Q2" s="192"/>
    </row>
    <row r="3" spans="1:21" ht="21" customHeight="1" x14ac:dyDescent="0.2">
      <c r="A3" s="154" t="s">
        <v>275</v>
      </c>
      <c r="B3" s="155"/>
      <c r="C3" s="155"/>
      <c r="D3" s="155"/>
      <c r="E3" s="156"/>
      <c r="G3" s="221"/>
      <c r="H3" s="221" t="b">
        <v>0</v>
      </c>
      <c r="I3" s="221"/>
      <c r="J3" s="221"/>
      <c r="M3" s="23" t="b">
        <v>0</v>
      </c>
      <c r="N3" s="192"/>
      <c r="O3" s="192"/>
      <c r="P3" s="192"/>
      <c r="Q3" s="192"/>
    </row>
    <row r="4" spans="1:21" ht="15" customHeight="1" x14ac:dyDescent="0.2">
      <c r="A4" s="215" t="s">
        <v>91</v>
      </c>
      <c r="B4" s="225" t="str">
        <f>IF(Inhaltsverzeichnis!C3="","",Inhaltsverzeichnis!C3)</f>
        <v/>
      </c>
      <c r="C4" s="226"/>
      <c r="D4" s="226"/>
      <c r="E4" s="227"/>
      <c r="G4" s="153" t="s">
        <v>314</v>
      </c>
      <c r="H4" s="157"/>
      <c r="I4" s="158">
        <f ca="1">SUMIF('Kal Unter Bed öffentl WC'!J22:M24,$G$4,'Kal Unter Bed öffentl WC'!M22:M24)</f>
        <v>31.259999999999998</v>
      </c>
      <c r="J4" s="118">
        <f>COUNTIFS('Kal Unter Bed öffentl WC'!J22:M24,$G$4)</f>
        <v>3</v>
      </c>
      <c r="M4" s="23" t="b">
        <v>0</v>
      </c>
      <c r="N4" s="192"/>
      <c r="O4" s="192"/>
      <c r="P4" s="192"/>
      <c r="Q4" s="192"/>
      <c r="U4" s="153" t="s">
        <v>314</v>
      </c>
    </row>
    <row r="5" spans="1:21" ht="15" customHeight="1" x14ac:dyDescent="0.2">
      <c r="A5" s="216"/>
      <c r="B5" s="228"/>
      <c r="C5" s="229"/>
      <c r="D5" s="229"/>
      <c r="E5" s="230"/>
      <c r="M5" s="23" t="b">
        <v>0</v>
      </c>
      <c r="N5" s="192"/>
      <c r="O5" s="192"/>
      <c r="P5" s="192"/>
      <c r="Q5" s="192"/>
    </row>
    <row r="6" spans="1:21" ht="15" customHeight="1" x14ac:dyDescent="0.2">
      <c r="A6" s="159" t="s">
        <v>200</v>
      </c>
      <c r="B6" s="231" t="s">
        <v>245</v>
      </c>
      <c r="C6" s="232"/>
      <c r="D6" s="232"/>
      <c r="E6" s="233"/>
      <c r="G6" s="152"/>
    </row>
    <row r="7" spans="1:21" ht="15" customHeight="1" x14ac:dyDescent="0.2">
      <c r="A7" s="160" t="s">
        <v>198</v>
      </c>
      <c r="B7" s="234" t="s">
        <v>257</v>
      </c>
      <c r="C7" s="232"/>
      <c r="D7" s="232"/>
      <c r="E7" s="233"/>
    </row>
    <row r="8" spans="1:21" ht="15" customHeight="1" x14ac:dyDescent="0.2">
      <c r="A8" s="160" t="s">
        <v>199</v>
      </c>
      <c r="B8" s="231"/>
      <c r="C8" s="232"/>
      <c r="D8" s="232"/>
      <c r="E8" s="233"/>
    </row>
    <row r="9" spans="1:21" ht="15" customHeight="1" x14ac:dyDescent="0.2">
      <c r="A9" s="159" t="s">
        <v>197</v>
      </c>
      <c r="B9" s="235" t="s">
        <v>256</v>
      </c>
      <c r="C9" s="232"/>
      <c r="D9" s="232"/>
      <c r="E9" s="233"/>
    </row>
    <row r="10" spans="1:21" ht="15" customHeight="1" x14ac:dyDescent="0.2">
      <c r="A10" s="160" t="s">
        <v>179</v>
      </c>
      <c r="B10" s="231" t="s">
        <v>258</v>
      </c>
      <c r="C10" s="232"/>
      <c r="D10" s="232"/>
      <c r="E10" s="233"/>
    </row>
    <row r="11" spans="1:21" ht="15" customHeight="1" x14ac:dyDescent="0.2">
      <c r="A11" s="160" t="s">
        <v>180</v>
      </c>
      <c r="B11" s="236" t="s">
        <v>248</v>
      </c>
      <c r="C11" s="232"/>
      <c r="D11" s="232"/>
      <c r="E11" s="233"/>
    </row>
    <row r="12" spans="1:21" ht="15" customHeight="1" x14ac:dyDescent="0.2">
      <c r="A12" s="160" t="s">
        <v>181</v>
      </c>
      <c r="B12" s="231" t="s">
        <v>249</v>
      </c>
      <c r="C12" s="232"/>
      <c r="D12" s="232"/>
      <c r="E12" s="233"/>
    </row>
    <row r="13" spans="1:21" ht="15" customHeight="1" x14ac:dyDescent="0.2">
      <c r="A13" s="160" t="s">
        <v>184</v>
      </c>
      <c r="B13" s="222" t="str">
        <f>HYPERLINK("http://maps.google.de/maps?hl=de&amp;bav=on.2,or.r_qf.&amp;bvm=bv.44770516,d.Yms&amp;biw=1395&amp;bih=916&amp;um=1&amp;ie=UTF-8&amp;q="&amp;B7&amp;"+"&amp;B8&amp;"+"&amp;B10&amp;"+"&amp;B11&amp;"+"&amp;B12&amp;"","In Google-Maps anzeigen (wenn Internet verfügbar)")</f>
        <v>In Google-Maps anzeigen (wenn Internet verfügbar)</v>
      </c>
      <c r="C13" s="223"/>
      <c r="D13" s="223"/>
      <c r="E13" s="224"/>
    </row>
    <row r="14" spans="1:21" ht="15" customHeight="1" x14ac:dyDescent="0.2">
      <c r="T14" s="161">
        <f>IF(COUNTA($T$22:$T$24)-COUNTBLANK($T$22:$T$24)=0,"",COUNTA($T$22:$T$24)-COUNTBLANK($T$22:$T$24))</f>
        <v>3</v>
      </c>
    </row>
    <row r="15" spans="1:21" ht="15" hidden="1" customHeight="1" x14ac:dyDescent="0.2"/>
    <row r="16" spans="1:21" ht="15" hidden="1" customHeight="1" x14ac:dyDescent="0.2"/>
    <row r="17" spans="1:21" ht="15" hidden="1" customHeight="1" x14ac:dyDescent="0.2"/>
    <row r="18" spans="1:21" ht="15" hidden="1" customHeight="1" x14ac:dyDescent="0.2"/>
    <row r="19" spans="1:21" ht="15" hidden="1" customHeight="1" x14ac:dyDescent="0.2"/>
    <row r="20" spans="1:21" ht="45" customHeight="1" x14ac:dyDescent="0.2">
      <c r="A20" s="1" t="s">
        <v>92</v>
      </c>
      <c r="B20" s="1" t="s">
        <v>97</v>
      </c>
      <c r="C20" s="1" t="s">
        <v>93</v>
      </c>
      <c r="D20" s="1" t="s">
        <v>94</v>
      </c>
      <c r="E20" s="1" t="s">
        <v>98</v>
      </c>
      <c r="F20" s="1" t="s">
        <v>95</v>
      </c>
      <c r="G20" s="1" t="s">
        <v>121</v>
      </c>
      <c r="H20" s="1" t="s">
        <v>108</v>
      </c>
      <c r="I20" s="1" t="s">
        <v>109</v>
      </c>
      <c r="J20" s="1" t="s">
        <v>99</v>
      </c>
      <c r="K20" s="1" t="s">
        <v>106</v>
      </c>
      <c r="L20" s="1" t="s">
        <v>141</v>
      </c>
      <c r="M20" s="1" t="s">
        <v>111</v>
      </c>
      <c r="N20" s="1" t="s">
        <v>107</v>
      </c>
      <c r="O20" s="1" t="s">
        <v>112</v>
      </c>
      <c r="P20" s="1" t="s">
        <v>113</v>
      </c>
      <c r="Q20" s="1" t="s">
        <v>114</v>
      </c>
      <c r="R20" s="1" t="s">
        <v>201</v>
      </c>
      <c r="S20" s="1" t="s">
        <v>140</v>
      </c>
    </row>
    <row r="21" spans="1:21" ht="29.1" customHeight="1" x14ac:dyDescent="0.2">
      <c r="A21" s="162" t="s">
        <v>125</v>
      </c>
      <c r="B21" s="14"/>
      <c r="C21" s="14"/>
      <c r="D21" s="14"/>
      <c r="E21" s="14"/>
      <c r="F21" s="14"/>
      <c r="G21" s="163">
        <f>SUM($G$22:$G$24)</f>
        <v>31.259999999999998</v>
      </c>
      <c r="H21" s="163">
        <f>SUM($H$22:$H$24)</f>
        <v>0</v>
      </c>
      <c r="I21" s="163">
        <f>SUM($I$22:$I$24)</f>
        <v>0</v>
      </c>
      <c r="J21" s="95"/>
      <c r="K21" s="95"/>
      <c r="L21" s="164">
        <f>MAX(L22:L24)</f>
        <v>1</v>
      </c>
      <c r="M21" s="163">
        <f>SUM($M$22:$M$24)</f>
        <v>31.259999999999998</v>
      </c>
      <c r="N21" s="95"/>
      <c r="O21" s="95"/>
      <c r="P21" s="163">
        <f>SUM($P$22:$P$24)</f>
        <v>0</v>
      </c>
      <c r="Q21" s="163">
        <f>SUM($Q$22:$Q$24)</f>
        <v>0</v>
      </c>
      <c r="R21" s="163">
        <f>ROUND(IF(L21=0,0,P21/L21),2)</f>
        <v>0</v>
      </c>
      <c r="S21" s="163">
        <f>ROUND(IF(L21=0,0,Q21/L21),2)</f>
        <v>0</v>
      </c>
    </row>
    <row r="22" spans="1:21" ht="15" customHeight="1" x14ac:dyDescent="0.2">
      <c r="A22" s="153">
        <v>1</v>
      </c>
      <c r="B22" s="165"/>
      <c r="C22" s="166" t="s">
        <v>276</v>
      </c>
      <c r="D22" s="166" t="s">
        <v>265</v>
      </c>
      <c r="E22" s="166" t="s">
        <v>296</v>
      </c>
      <c r="F22" s="166" t="s">
        <v>476</v>
      </c>
      <c r="G22" s="167">
        <v>6.69</v>
      </c>
      <c r="H22" s="167"/>
      <c r="I22" s="167"/>
      <c r="J22" s="153" t="s">
        <v>314</v>
      </c>
      <c r="K22" s="153" t="s">
        <v>171</v>
      </c>
      <c r="L22" s="95">
        <f>VLOOKUP(K22,Reinigungstage!A10:T31,20,FALSE)</f>
        <v>1</v>
      </c>
      <c r="M22" s="95">
        <f>ROUND(IF(L22=0,0,L22*G22),2)</f>
        <v>6.69</v>
      </c>
      <c r="N22" s="168">
        <f>VLOOKUP(J22,$G$4:$H$4,2,FALSE)</f>
        <v>0</v>
      </c>
      <c r="O22" s="171">
        <f>IF('SVS UnterhaltsRG öff WC'!$H$63="",0,'SVS UnterhaltsRG öff WC'!$H$63)</f>
        <v>0</v>
      </c>
      <c r="P22" s="95">
        <f>ROUND(IF(N22=0,0,M22/N22),2)</f>
        <v>0</v>
      </c>
      <c r="Q22" s="95">
        <f>IF(M22=0,0,IF(O22="",0,ROUND(P22*O22,2)))</f>
        <v>0</v>
      </c>
      <c r="R22" s="95">
        <f>ROUND(IF(P22=0,0,P22/L22),2)</f>
        <v>0</v>
      </c>
      <c r="S22" s="95">
        <f>ROUND(IF(Q22=0,0,Q22/L22),2)</f>
        <v>0</v>
      </c>
      <c r="T22" s="3" t="str">
        <f>IF(M22=0,"",IF(N22=0,"Leistungswert eintragen",IF(O22=0,"SVS prüfen","")))</f>
        <v>Leistungswert eintragen</v>
      </c>
      <c r="U22" s="3">
        <f>VLOOKUP(J22,$U$4:$V$4,2,FALSE)</f>
        <v>0</v>
      </c>
    </row>
    <row r="23" spans="1:21" ht="15" customHeight="1" x14ac:dyDescent="0.2">
      <c r="A23" s="153">
        <v>2</v>
      </c>
      <c r="B23" s="165"/>
      <c r="C23" s="166" t="s">
        <v>276</v>
      </c>
      <c r="D23" s="166" t="s">
        <v>265</v>
      </c>
      <c r="E23" s="166" t="s">
        <v>381</v>
      </c>
      <c r="F23" s="166" t="s">
        <v>476</v>
      </c>
      <c r="G23" s="167">
        <v>13.9</v>
      </c>
      <c r="H23" s="167"/>
      <c r="I23" s="167"/>
      <c r="J23" s="153" t="s">
        <v>314</v>
      </c>
      <c r="K23" s="153" t="s">
        <v>171</v>
      </c>
      <c r="L23" s="95">
        <f>VLOOKUP(K23,Reinigungstage!A10:T31,20,FALSE)</f>
        <v>1</v>
      </c>
      <c r="M23" s="95">
        <f>ROUND(IF(L23=0,0,L23*G23),2)</f>
        <v>13.9</v>
      </c>
      <c r="N23" s="168">
        <f>VLOOKUP(J23,$G$4:$H$4,2,FALSE)</f>
        <v>0</v>
      </c>
      <c r="O23" s="171">
        <f>IF('SVS UnterhaltsRG öff WC'!$H$63="",0,'SVS UnterhaltsRG öff WC'!$H$63)</f>
        <v>0</v>
      </c>
      <c r="P23" s="95">
        <f>ROUND(IF(N23=0,0,M23/N23),2)</f>
        <v>0</v>
      </c>
      <c r="Q23" s="95">
        <f>IF(M23=0,0,IF(O23="",0,ROUND(P23*O23,2)))</f>
        <v>0</v>
      </c>
      <c r="R23" s="95">
        <f>ROUND(IF(P23=0,0,P23/L23),2)</f>
        <v>0</v>
      </c>
      <c r="S23" s="95">
        <f>ROUND(IF(Q23=0,0,Q23/L23),2)</f>
        <v>0</v>
      </c>
      <c r="T23" s="3" t="str">
        <f>IF(M23=0,"",IF(N23=0,"Leistungswert eintragen",IF(O23=0,"SVS prüfen","")))</f>
        <v>Leistungswert eintragen</v>
      </c>
      <c r="U23" s="3">
        <f>VLOOKUP(J23,$U$4:$V$4,2,FALSE)</f>
        <v>0</v>
      </c>
    </row>
    <row r="24" spans="1:21" ht="15" customHeight="1" x14ac:dyDescent="0.2">
      <c r="A24" s="153">
        <v>3</v>
      </c>
      <c r="B24" s="165"/>
      <c r="C24" s="166" t="s">
        <v>276</v>
      </c>
      <c r="D24" s="166" t="s">
        <v>265</v>
      </c>
      <c r="E24" s="166" t="s">
        <v>380</v>
      </c>
      <c r="F24" s="166" t="s">
        <v>476</v>
      </c>
      <c r="G24" s="167">
        <v>10.67</v>
      </c>
      <c r="H24" s="167"/>
      <c r="I24" s="167"/>
      <c r="J24" s="153" t="s">
        <v>314</v>
      </c>
      <c r="K24" s="153" t="s">
        <v>171</v>
      </c>
      <c r="L24" s="95">
        <f>VLOOKUP(K24,Reinigungstage!A10:T31,20,FALSE)</f>
        <v>1</v>
      </c>
      <c r="M24" s="95">
        <f>ROUND(IF(L24=0,0,L24*G24),2)</f>
        <v>10.67</v>
      </c>
      <c r="N24" s="168">
        <f>VLOOKUP(J24,$G$4:$H$4,2,FALSE)</f>
        <v>0</v>
      </c>
      <c r="O24" s="171">
        <f>IF('SVS UnterhaltsRG öff WC'!$H$63="",0,'SVS UnterhaltsRG öff WC'!$H$63)</f>
        <v>0</v>
      </c>
      <c r="P24" s="95">
        <f>ROUND(IF(N24=0,0,M24/N24),2)</f>
        <v>0</v>
      </c>
      <c r="Q24" s="95">
        <f>IF(M24=0,0,IF(O24="",0,ROUND(P24*O24,2)))</f>
        <v>0</v>
      </c>
      <c r="R24" s="95">
        <f>ROUND(IF(P24=0,0,P24/L24),2)</f>
        <v>0</v>
      </c>
      <c r="S24" s="95">
        <f>ROUND(IF(Q24=0,0,Q24/L24),2)</f>
        <v>0</v>
      </c>
      <c r="T24" s="3" t="str">
        <f>IF(M24=0,"",IF(N24=0,"Leistungswert eintragen",IF(O24=0,"SVS prüfen","")))</f>
        <v>Leistungswert eintragen</v>
      </c>
      <c r="U24" s="3">
        <f>VLOOKUP(J24,$U$4:$V$4,2,FALSE)</f>
        <v>0</v>
      </c>
    </row>
  </sheetData>
  <sheetProtection algorithmName="SHA-512" hashValue="v4KNJqT0jMdsjrl2oya/bi0C39hRSIh+xcs5FuHv5EtnVt/mD892+T/CV7SvUzEXdltCaQj+V5c1QAz06rtxOA==" saltValue="1I6Ip6vr2AnITXV29cw2SA==" spinCount="100000" sheet="1" objects="1" scenarios="1"/>
  <mergeCells count="16">
    <mergeCell ref="B13:E13"/>
    <mergeCell ref="B4:E5"/>
    <mergeCell ref="B6:E6"/>
    <mergeCell ref="B7:E7"/>
    <mergeCell ref="B8:E8"/>
    <mergeCell ref="B9:E9"/>
    <mergeCell ref="B10:E10"/>
    <mergeCell ref="B11:E11"/>
    <mergeCell ref="B12:E12"/>
    <mergeCell ref="N2:Q5"/>
    <mergeCell ref="A4:A5"/>
    <mergeCell ref="A2:E2"/>
    <mergeCell ref="G2:G3"/>
    <mergeCell ref="H2:H3"/>
    <mergeCell ref="I2:I3"/>
    <mergeCell ref="J2:J3"/>
  </mergeCells>
  <conditionalFormatting sqref="T22:T24">
    <cfRule type="containsText" dxfId="118" priority="1" stopIfTrue="1" operator="containsText" text="SVS prüfen">
      <formula>NOT(ISERROR(SEARCH("SVS prüfen",T22)))</formula>
    </cfRule>
    <cfRule type="containsText" dxfId="117" priority="2" stopIfTrue="1" operator="containsText" text="Leistungswert eintragen">
      <formula>NOT(ISERROR(SEARCH("Leistungswert eintragen",T22)))</formula>
    </cfRule>
  </conditionalFormatting>
  <hyperlinks>
    <hyperlink ref="M1" location="Inhaltsverzeichnis!A1" display="Zurück zum Inhaltsverzeichnis" xr:uid="{2AA50E2A-1A10-4862-9D12-474D23145C2E}"/>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&amp;RKal Unter Bed öffentl WC&amp;LStadt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sizeWithCells="1">
                  <from>
                    <xdr:col>12</xdr:col>
                    <xdr:colOff>19050</xdr:colOff>
                    <xdr:row>1</xdr:row>
                    <xdr:rowOff>38100</xdr:rowOff>
                  </from>
                  <to>
                    <xdr:col>12</xdr:col>
                    <xdr:colOff>809625</xdr:colOff>
                    <xdr:row>2</xdr:row>
                    <xdr:rowOff>19050</xdr:rowOff>
                  </to>
                </anchor>
              </controlPr>
            </control>
          </mc:Choice>
        </mc:AlternateContent>
        <mc:AlternateContent xmlns:mc="http://schemas.openxmlformats.org/markup-compatibility/2006">
          <mc:Choice Requires="x14">
            <control shapeId="107522" r:id="rId5" name="Check Box 2">
              <controlPr defaultSize="0" autoFill="0" autoLine="0" autoPict="0" altText="Hinweis 2">
                <anchor moveWithCells="1" sizeWithCells="1">
                  <from>
                    <xdr:col>12</xdr:col>
                    <xdr:colOff>19050</xdr:colOff>
                    <xdr:row>2</xdr:row>
                    <xdr:rowOff>19050</xdr:rowOff>
                  </from>
                  <to>
                    <xdr:col>12</xdr:col>
                    <xdr:colOff>809625</xdr:colOff>
                    <xdr:row>2</xdr:row>
                    <xdr:rowOff>266700</xdr:rowOff>
                  </to>
                </anchor>
              </controlPr>
            </control>
          </mc:Choice>
        </mc:AlternateContent>
        <mc:AlternateContent xmlns:mc="http://schemas.openxmlformats.org/markup-compatibility/2006">
          <mc:Choice Requires="x14">
            <control shapeId="107523" r:id="rId6" name="Check Box 3">
              <controlPr defaultSize="0" autoFill="0" autoLine="0" autoPict="0" altText="Hinweis 3">
                <anchor moveWithCells="1" sizeWithCells="1">
                  <from>
                    <xdr:col>12</xdr:col>
                    <xdr:colOff>19050</xdr:colOff>
                    <xdr:row>3</xdr:row>
                    <xdr:rowOff>9525</xdr:rowOff>
                  </from>
                  <to>
                    <xdr:col>12</xdr:col>
                    <xdr:colOff>809625</xdr:colOff>
                    <xdr:row>4</xdr:row>
                    <xdr:rowOff>57150</xdr:rowOff>
                  </to>
                </anchor>
              </controlPr>
            </control>
          </mc:Choice>
        </mc:AlternateContent>
        <mc:AlternateContent xmlns:mc="http://schemas.openxmlformats.org/markup-compatibility/2006">
          <mc:Choice Requires="x14">
            <control shapeId="107524" r:id="rId7" name="Check Box 4">
              <controlPr defaultSize="0" autoFill="0" autoLine="0" autoPict="0" altText="Hinweis 3">
                <anchor moveWithCells="1" sizeWithCells="1">
                  <from>
                    <xdr:col>12</xdr:col>
                    <xdr:colOff>19050</xdr:colOff>
                    <xdr:row>4</xdr:row>
                    <xdr:rowOff>66675</xdr:rowOff>
                  </from>
                  <to>
                    <xdr:col>12</xdr:col>
                    <xdr:colOff>809625</xdr:colOff>
                    <xdr:row>5</xdr:row>
                    <xdr:rowOff>123825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A182D-19C6-450C-B9C5-89248FF1481B}">
  <sheetPr codeName="Tabelle35">
    <tabColor indexed="40"/>
  </sheetPr>
  <dimension ref="A1:U66"/>
  <sheetViews>
    <sheetView showGridLines="0" zoomScaleNormal="100" workbookViewId="0">
      <pane ySplit="21" topLeftCell="A22" activePane="bottomLeft" state="frozen"/>
      <selection pane="bottomLeft"/>
    </sheetView>
  </sheetViews>
  <sheetFormatPr baseColWidth="10" defaultColWidth="0" defaultRowHeight="15" customHeight="1" x14ac:dyDescent="0.2"/>
  <cols>
    <col min="1" max="1" width="11.7109375" style="3" customWidth="1"/>
    <col min="2" max="2" width="7.7109375" style="3" customWidth="1"/>
    <col min="3" max="3" width="5.7109375" style="3" customWidth="1"/>
    <col min="4" max="4" width="8.28515625" style="3" customWidth="1"/>
    <col min="5" max="5" width="21.7109375" style="3" customWidth="1"/>
    <col min="6" max="6" width="13.5703125" style="3" bestFit="1" customWidth="1"/>
    <col min="7" max="7" width="10.7109375" style="3" customWidth="1"/>
    <col min="8" max="8" width="9.7109375" style="3" customWidth="1"/>
    <col min="9" max="9" width="11.7109375" style="3" customWidth="1"/>
    <col min="10" max="10" width="10.5703125" style="3" bestFit="1" customWidth="1"/>
    <col min="11" max="11" width="7.85546875" style="3" customWidth="1"/>
    <col min="12" max="12" width="8.7109375" style="3" customWidth="1"/>
    <col min="13" max="13" width="12.140625" style="3" customWidth="1"/>
    <col min="14" max="14" width="9.42578125" style="3" customWidth="1"/>
    <col min="15" max="15" width="8.42578125" style="3" customWidth="1"/>
    <col min="16" max="17" width="11.42578125" style="3" customWidth="1"/>
    <col min="18" max="19" width="11.28515625" style="3" customWidth="1"/>
    <col min="20" max="20" width="22.28515625" style="3" customWidth="1"/>
    <col min="21" max="21" width="0" style="3" hidden="1" customWidth="1"/>
    <col min="22" max="16384" width="11.42578125" style="3" hidden="1"/>
  </cols>
  <sheetData>
    <row r="1" spans="1:21" ht="15" customHeight="1" x14ac:dyDescent="0.2">
      <c r="M1" s="5" t="s">
        <v>100</v>
      </c>
    </row>
    <row r="2" spans="1:21" ht="21" customHeight="1" x14ac:dyDescent="0.2">
      <c r="A2" s="217" t="s">
        <v>177</v>
      </c>
      <c r="B2" s="218"/>
      <c r="C2" s="218"/>
      <c r="D2" s="218" t="b">
        <v>0</v>
      </c>
      <c r="E2" s="219"/>
      <c r="G2" s="220" t="s">
        <v>190</v>
      </c>
      <c r="H2" s="220" t="s">
        <v>182</v>
      </c>
      <c r="I2" s="220" t="s">
        <v>183</v>
      </c>
      <c r="J2" s="220" t="s">
        <v>202</v>
      </c>
      <c r="M2" s="23" t="b">
        <v>0</v>
      </c>
      <c r="N2" s="192" t="str">
        <f>IF(M2=TRUE,"Bitte tragen Sie Ihre Leistungswerte in die gelben Zellen direkt unter der Zelle Leistungswerte (m²/h) ein. Die Leistungswerte werden automatisch in die untere Kalkulation übernommen. Die linke Tabelle ist lediglich eine Ausfüllhilfe.",IF(M3=TRUE,"Wenn eine Jahresreinigungsfläche für eine Reinigungsgruppe mit 0 angegeben ist, brauchen Sie den Leistungswert nicht auszufüllen. Es schadet aber nichts, wenn Sie es trotzdem tun.",IF(M4=TRUE,"Sie können in der Kalkulationstabelle (unten) in jedem einzelnen Raum die Leistungswerte (gelbe Zellen) beliebig oft individuell anpassen. Mit dem individuellen Überschreiben wird die Verknüpfung zu den Leistungswerten in der obigen Tabelle aufgehoben.",IF( M5=TRUE,"Die rot markierten Informationen sind auch lediglich eine Unterstützung. Sie erscheinen, wenn gelbe Zellen in dieser Tabelle oder in den Stundenverrechnungssätzen (SVS) nicht ausgefüllt sind. Wenn keine rote Schrift mehr da ist, ist alles vollständig.",""))))</f>
        <v/>
      </c>
      <c r="O2" s="192"/>
      <c r="P2" s="192"/>
      <c r="Q2" s="192"/>
    </row>
    <row r="3" spans="1:21" ht="21" customHeight="1" x14ac:dyDescent="0.2">
      <c r="A3" s="154" t="s">
        <v>178</v>
      </c>
      <c r="B3" s="155"/>
      <c r="C3" s="155"/>
      <c r="D3" s="155"/>
      <c r="E3" s="156"/>
      <c r="G3" s="221"/>
      <c r="H3" s="221" t="b">
        <v>0</v>
      </c>
      <c r="I3" s="221"/>
      <c r="J3" s="221"/>
      <c r="M3" s="23" t="b">
        <v>0</v>
      </c>
      <c r="N3" s="192"/>
      <c r="O3" s="192"/>
      <c r="P3" s="192"/>
      <c r="Q3" s="192"/>
    </row>
    <row r="4" spans="1:21" ht="15" customHeight="1" x14ac:dyDescent="0.2">
      <c r="A4" s="215" t="s">
        <v>91</v>
      </c>
      <c r="B4" s="225" t="str">
        <f>IF(Inhaltsverzeichnis!C3="","",Inhaltsverzeichnis!C3)</f>
        <v/>
      </c>
      <c r="C4" s="226"/>
      <c r="D4" s="226"/>
      <c r="E4" s="227"/>
      <c r="G4" s="153" t="s">
        <v>402</v>
      </c>
      <c r="H4" s="157"/>
      <c r="I4" s="158">
        <f ca="1">SUMIF('Kal Unter Rathaus'!J22:M66,$G$4,'Kal Unter Rathaus'!M22:M66)</f>
        <v>25255.039999999997</v>
      </c>
      <c r="J4" s="118">
        <f>COUNTIFS('Kal Unter Rathaus'!J22:M66,$G$4)</f>
        <v>11</v>
      </c>
      <c r="M4" s="23" t="b">
        <v>0</v>
      </c>
      <c r="N4" s="192"/>
      <c r="O4" s="192"/>
      <c r="P4" s="192"/>
      <c r="Q4" s="192"/>
      <c r="U4" s="153" t="s">
        <v>402</v>
      </c>
    </row>
    <row r="5" spans="1:21" ht="15" customHeight="1" x14ac:dyDescent="0.2">
      <c r="A5" s="216"/>
      <c r="B5" s="228"/>
      <c r="C5" s="229"/>
      <c r="D5" s="229"/>
      <c r="E5" s="230"/>
      <c r="G5" s="153" t="s">
        <v>315</v>
      </c>
      <c r="H5" s="157"/>
      <c r="I5" s="158">
        <f ca="1">SUMIF('Kal Unter Rathaus'!J22:M66,$G$5,'Kal Unter Rathaus'!M22:M66)</f>
        <v>7284.71</v>
      </c>
      <c r="J5" s="118">
        <f>COUNTIFS('Kal Unter Rathaus'!J22:M66,$G$5)</f>
        <v>4</v>
      </c>
      <c r="M5" s="23" t="b">
        <v>0</v>
      </c>
      <c r="N5" s="192"/>
      <c r="O5" s="192"/>
      <c r="P5" s="192"/>
      <c r="Q5" s="192"/>
      <c r="U5" s="153" t="s">
        <v>315</v>
      </c>
    </row>
    <row r="6" spans="1:21" ht="15" customHeight="1" x14ac:dyDescent="0.2">
      <c r="A6" s="159" t="s">
        <v>200</v>
      </c>
      <c r="B6" s="231" t="s">
        <v>245</v>
      </c>
      <c r="C6" s="232"/>
      <c r="D6" s="232"/>
      <c r="E6" s="233"/>
      <c r="G6" s="153" t="s">
        <v>314</v>
      </c>
      <c r="H6" s="157"/>
      <c r="I6" s="158">
        <f ca="1">SUMIF('Kal Unter Rathaus'!J22:M66,$G$6,'Kal Unter Rathaus'!M22:M66)</f>
        <v>3338.9</v>
      </c>
      <c r="J6" s="118">
        <f>COUNTIFS('Kal Unter Rathaus'!J22:M66,$G$6)</f>
        <v>4</v>
      </c>
      <c r="U6" s="153" t="s">
        <v>314</v>
      </c>
    </row>
    <row r="7" spans="1:21" ht="15" customHeight="1" x14ac:dyDescent="0.2">
      <c r="A7" s="160" t="s">
        <v>198</v>
      </c>
      <c r="B7" s="234" t="s">
        <v>259</v>
      </c>
      <c r="C7" s="232"/>
      <c r="D7" s="232"/>
      <c r="E7" s="233"/>
      <c r="G7" s="153" t="s">
        <v>312</v>
      </c>
      <c r="H7" s="157"/>
      <c r="I7" s="158">
        <f ca="1">SUMIF('Kal Unter Rathaus'!J22:M66,$G$7,'Kal Unter Rathaus'!M22:M66)</f>
        <v>1151.04</v>
      </c>
      <c r="J7" s="118">
        <f>COUNTIFS('Kal Unter Rathaus'!J22:M66,$G$7)</f>
        <v>8</v>
      </c>
      <c r="U7" s="153" t="s">
        <v>312</v>
      </c>
    </row>
    <row r="8" spans="1:21" ht="15" customHeight="1" x14ac:dyDescent="0.2">
      <c r="A8" s="160" t="s">
        <v>199</v>
      </c>
      <c r="B8" s="231"/>
      <c r="C8" s="232"/>
      <c r="D8" s="232"/>
      <c r="E8" s="233"/>
      <c r="G8" s="153" t="s">
        <v>310</v>
      </c>
      <c r="H8" s="157"/>
      <c r="I8" s="158">
        <f ca="1">SUMIF('Kal Unter Rathaus'!J22:M66,$G$8,'Kal Unter Rathaus'!M22:M66)</f>
        <v>4857.2</v>
      </c>
      <c r="J8" s="118">
        <f>COUNTIFS('Kal Unter Rathaus'!J22:M66,$G$8)</f>
        <v>5</v>
      </c>
      <c r="U8" s="153" t="s">
        <v>310</v>
      </c>
    </row>
    <row r="9" spans="1:21" ht="15" customHeight="1" x14ac:dyDescent="0.2">
      <c r="A9" s="159" t="s">
        <v>197</v>
      </c>
      <c r="B9" s="235" t="s">
        <v>259</v>
      </c>
      <c r="C9" s="232"/>
      <c r="D9" s="232"/>
      <c r="E9" s="233"/>
      <c r="G9" s="153" t="s">
        <v>313</v>
      </c>
      <c r="H9" s="157"/>
      <c r="I9" s="158">
        <f ca="1">SUMIF('Kal Unter Rathaus'!J22:M66,$G$9,'Kal Unter Rathaus'!M22:M66)</f>
        <v>25693.069999999996</v>
      </c>
      <c r="J9" s="118">
        <f>COUNTIFS('Kal Unter Rathaus'!J22:M66,$G$9)</f>
        <v>12</v>
      </c>
      <c r="U9" s="153" t="s">
        <v>313</v>
      </c>
    </row>
    <row r="10" spans="1:21" ht="15" customHeight="1" x14ac:dyDescent="0.2">
      <c r="A10" s="160" t="s">
        <v>179</v>
      </c>
      <c r="B10" s="231" t="s">
        <v>260</v>
      </c>
      <c r="C10" s="232"/>
      <c r="D10" s="232"/>
      <c r="E10" s="233"/>
      <c r="G10" s="153" t="s">
        <v>404</v>
      </c>
      <c r="H10" s="157"/>
      <c r="I10" s="158">
        <f ca="1">SUMIF('Kal Unter Rathaus'!J22:M66,$G$10,'Kal Unter Rathaus'!M22:M66)</f>
        <v>1194.7</v>
      </c>
      <c r="J10" s="118">
        <f>COUNTIFS('Kal Unter Rathaus'!J22:M66,$G$10)</f>
        <v>1</v>
      </c>
      <c r="U10" s="153" t="s">
        <v>404</v>
      </c>
    </row>
    <row r="11" spans="1:21" ht="15" customHeight="1" x14ac:dyDescent="0.2">
      <c r="A11" s="160" t="s">
        <v>180</v>
      </c>
      <c r="B11" s="236" t="s">
        <v>248</v>
      </c>
      <c r="C11" s="232"/>
      <c r="D11" s="232"/>
      <c r="E11" s="233"/>
    </row>
    <row r="12" spans="1:21" ht="15" customHeight="1" x14ac:dyDescent="0.2">
      <c r="A12" s="160" t="s">
        <v>181</v>
      </c>
      <c r="B12" s="231" t="s">
        <v>249</v>
      </c>
      <c r="C12" s="232"/>
      <c r="D12" s="232"/>
      <c r="E12" s="233"/>
    </row>
    <row r="13" spans="1:21" ht="15" customHeight="1" x14ac:dyDescent="0.2">
      <c r="A13" s="160" t="s">
        <v>184</v>
      </c>
      <c r="B13" s="222" t="str">
        <f>HYPERLINK("http://maps.google.de/maps?hl=de&amp;bav=on.2,or.r_qf.&amp;bvm=bv.44770516,d.Yms&amp;biw=1395&amp;bih=916&amp;um=1&amp;ie=UTF-8&amp;q="&amp;B7&amp;"+"&amp;B8&amp;"+"&amp;B10&amp;"+"&amp;B11&amp;"+"&amp;B12&amp;"","In Google-Maps anzeigen (wenn Internet verfügbar)")</f>
        <v>In Google-Maps anzeigen (wenn Internet verfügbar)</v>
      </c>
      <c r="C13" s="223"/>
      <c r="D13" s="223"/>
      <c r="E13" s="224"/>
    </row>
    <row r="14" spans="1:21" ht="15" customHeight="1" x14ac:dyDescent="0.2">
      <c r="T14" s="161">
        <f>IF(COUNTA($T$22:$T$66)-COUNTBLANK($T$22:$T$66)=0,"",COUNTA($T$22:$T$66)-COUNTBLANK($T$22:$T$66))</f>
        <v>44</v>
      </c>
    </row>
    <row r="15" spans="1:21" ht="15" hidden="1" customHeight="1" x14ac:dyDescent="0.2"/>
    <row r="16" spans="1:21" ht="15" hidden="1" customHeight="1" x14ac:dyDescent="0.2"/>
    <row r="17" spans="1:21" ht="15" hidden="1" customHeight="1" x14ac:dyDescent="0.2"/>
    <row r="18" spans="1:21" ht="15" hidden="1" customHeight="1" x14ac:dyDescent="0.2"/>
    <row r="19" spans="1:21" ht="15" hidden="1" customHeight="1" x14ac:dyDescent="0.2"/>
    <row r="20" spans="1:21" ht="45" customHeight="1" x14ac:dyDescent="0.2">
      <c r="A20" s="1" t="s">
        <v>92</v>
      </c>
      <c r="B20" s="1" t="s">
        <v>97</v>
      </c>
      <c r="C20" s="1" t="s">
        <v>93</v>
      </c>
      <c r="D20" s="1" t="s">
        <v>94</v>
      </c>
      <c r="E20" s="1" t="s">
        <v>98</v>
      </c>
      <c r="F20" s="1" t="s">
        <v>95</v>
      </c>
      <c r="G20" s="1" t="s">
        <v>121</v>
      </c>
      <c r="H20" s="1" t="s">
        <v>108</v>
      </c>
      <c r="I20" s="1" t="s">
        <v>109</v>
      </c>
      <c r="J20" s="1" t="s">
        <v>99</v>
      </c>
      <c r="K20" s="1" t="s">
        <v>106</v>
      </c>
      <c r="L20" s="1" t="s">
        <v>141</v>
      </c>
      <c r="M20" s="1" t="s">
        <v>111</v>
      </c>
      <c r="N20" s="1" t="s">
        <v>107</v>
      </c>
      <c r="O20" s="1" t="s">
        <v>112</v>
      </c>
      <c r="P20" s="1" t="s">
        <v>113</v>
      </c>
      <c r="Q20" s="1" t="s">
        <v>114</v>
      </c>
      <c r="R20" s="1" t="s">
        <v>201</v>
      </c>
      <c r="S20" s="1" t="s">
        <v>140</v>
      </c>
    </row>
    <row r="21" spans="1:21" ht="29.1" customHeight="1" x14ac:dyDescent="0.2">
      <c r="A21" s="162" t="s">
        <v>125</v>
      </c>
      <c r="B21" s="14"/>
      <c r="C21" s="14"/>
      <c r="D21" s="14"/>
      <c r="E21" s="14"/>
      <c r="F21" s="14"/>
      <c r="G21" s="163">
        <f>SUM($G$22:$G$66)</f>
        <v>648.86999999999978</v>
      </c>
      <c r="H21" s="163">
        <f>SUM($H$22:$H$66)</f>
        <v>0</v>
      </c>
      <c r="I21" s="163">
        <f>SUM($I$22:$I$66)</f>
        <v>6</v>
      </c>
      <c r="J21" s="95"/>
      <c r="K21" s="95"/>
      <c r="L21" s="164">
        <f>MAX(L22:L66)</f>
        <v>253.33</v>
      </c>
      <c r="M21" s="163">
        <f>SUM($M$22:$M$66)</f>
        <v>68774.659999999989</v>
      </c>
      <c r="N21" s="95"/>
      <c r="O21" s="95"/>
      <c r="P21" s="163">
        <f>SUM($P$22:$P$66)</f>
        <v>0</v>
      </c>
      <c r="Q21" s="163">
        <f ca="1">SUM($Q$22:$Q$66)</f>
        <v>0</v>
      </c>
      <c r="R21" s="163">
        <f>ROUND(IF(L21=0,0,P21/L21),2)</f>
        <v>0</v>
      </c>
      <c r="S21" s="163">
        <f ca="1">ROUND(IF(L21=0,0,Q21/L21),2)</f>
        <v>0</v>
      </c>
    </row>
    <row r="22" spans="1:21" ht="15" customHeight="1" x14ac:dyDescent="0.2">
      <c r="A22" s="153">
        <v>1</v>
      </c>
      <c r="B22" s="165"/>
      <c r="C22" s="166" t="s">
        <v>316</v>
      </c>
      <c r="D22" s="166"/>
      <c r="E22" s="166" t="s">
        <v>477</v>
      </c>
      <c r="F22" s="166" t="s">
        <v>293</v>
      </c>
      <c r="G22" s="167">
        <v>11.35</v>
      </c>
      <c r="H22" s="167"/>
      <c r="I22" s="167"/>
      <c r="J22" s="153" t="s">
        <v>404</v>
      </c>
      <c r="K22" s="167">
        <v>2</v>
      </c>
      <c r="L22" s="95">
        <f>VLOOKUP(K22,Reinigungstage!A10:G31,7,FALSE)</f>
        <v>105.26</v>
      </c>
      <c r="M22" s="95">
        <f t="shared" ref="M22:M66" si="0">ROUND(IF(L22=0,0,L22*G22),2)</f>
        <v>1194.7</v>
      </c>
      <c r="N22" s="168">
        <f t="shared" ref="N22:N66" si="1">VLOOKUP(J22,$G$4:$H$10,2,FALSE)</f>
        <v>0</v>
      </c>
      <c r="O22" s="95">
        <f ca="1">IF('SVS UnterhaltsRG'!H61="",0,'SVS UnterhaltsRG'!H61)</f>
        <v>0</v>
      </c>
      <c r="P22" s="95">
        <f t="shared" ref="P22:P66" si="2">ROUND(IF(N22=0,0,M22/N22),2)</f>
        <v>0</v>
      </c>
      <c r="Q22" s="95">
        <f t="shared" ref="Q22:Q66" ca="1" si="3">IF(M22=0,0,IF(O22="",0,ROUND(P22*O22,2)))</f>
        <v>0</v>
      </c>
      <c r="R22" s="95">
        <f t="shared" ref="R22:R66" si="4">ROUND(IF(P22=0,0,P22/L22),2)</f>
        <v>0</v>
      </c>
      <c r="S22" s="95">
        <f t="shared" ref="S22:S66" ca="1" si="5">ROUND(IF(Q22=0,0,Q22/L22),2)</f>
        <v>0</v>
      </c>
      <c r="T22" s="3" t="str">
        <f t="shared" ref="T22:T66" si="6">IF(M22=0,"",IF(N22=0,"Leistungswert eintragen",IF(O22=0,"SVS prüfen","")))</f>
        <v>Leistungswert eintragen</v>
      </c>
      <c r="U22" s="3">
        <f t="shared" ref="U22:U66" si="7">VLOOKUP(J22,$U$4:$V$10,2,FALSE)</f>
        <v>0</v>
      </c>
    </row>
    <row r="23" spans="1:21" ht="15" customHeight="1" x14ac:dyDescent="0.2">
      <c r="A23" s="153">
        <v>2</v>
      </c>
      <c r="B23" s="165"/>
      <c r="C23" s="166" t="s">
        <v>316</v>
      </c>
      <c r="D23" s="166"/>
      <c r="E23" s="166" t="s">
        <v>295</v>
      </c>
      <c r="F23" s="166" t="s">
        <v>293</v>
      </c>
      <c r="G23" s="167">
        <v>2.66</v>
      </c>
      <c r="H23" s="167"/>
      <c r="I23" s="167"/>
      <c r="J23" s="153" t="s">
        <v>314</v>
      </c>
      <c r="K23" s="167">
        <v>5</v>
      </c>
      <c r="L23" s="95">
        <f>VLOOKUP(K23,Reinigungstage!A10:G31,7,FALSE)</f>
        <v>253.33</v>
      </c>
      <c r="M23" s="95">
        <f t="shared" si="0"/>
        <v>673.86</v>
      </c>
      <c r="N23" s="168">
        <f t="shared" si="1"/>
        <v>0</v>
      </c>
      <c r="O23" s="95">
        <f ca="1">IF('SVS UnterhaltsRG'!H61="",0,'SVS UnterhaltsRG'!H61)</f>
        <v>0</v>
      </c>
      <c r="P23" s="95">
        <f t="shared" si="2"/>
        <v>0</v>
      </c>
      <c r="Q23" s="95">
        <f t="shared" ca="1" si="3"/>
        <v>0</v>
      </c>
      <c r="R23" s="95">
        <f t="shared" si="4"/>
        <v>0</v>
      </c>
      <c r="S23" s="95">
        <f t="shared" ca="1" si="5"/>
        <v>0</v>
      </c>
      <c r="T23" s="3" t="str">
        <f t="shared" si="6"/>
        <v>Leistungswert eintragen</v>
      </c>
      <c r="U23" s="3">
        <f t="shared" si="7"/>
        <v>0</v>
      </c>
    </row>
    <row r="24" spans="1:21" ht="15" customHeight="1" x14ac:dyDescent="0.2">
      <c r="A24" s="153">
        <v>3</v>
      </c>
      <c r="B24" s="165" t="s">
        <v>478</v>
      </c>
      <c r="C24" s="166" t="s">
        <v>316</v>
      </c>
      <c r="D24" s="166"/>
      <c r="E24" s="166" t="s">
        <v>479</v>
      </c>
      <c r="F24" s="166" t="s">
        <v>287</v>
      </c>
      <c r="G24" s="167">
        <v>19.239999999999998</v>
      </c>
      <c r="H24" s="167"/>
      <c r="I24" s="167"/>
      <c r="J24" s="153" t="s">
        <v>312</v>
      </c>
      <c r="K24" s="153" t="s">
        <v>162</v>
      </c>
      <c r="L24" s="95">
        <f>VLOOKUP(K24,Reinigungstage!A10:G31,7,FALSE)</f>
        <v>12</v>
      </c>
      <c r="M24" s="95">
        <f t="shared" si="0"/>
        <v>230.88</v>
      </c>
      <c r="N24" s="168">
        <f t="shared" si="1"/>
        <v>0</v>
      </c>
      <c r="O24" s="95">
        <f ca="1">IF('SVS UnterhaltsRG'!H61="",0,'SVS UnterhaltsRG'!H61)</f>
        <v>0</v>
      </c>
      <c r="P24" s="95">
        <f t="shared" si="2"/>
        <v>0</v>
      </c>
      <c r="Q24" s="95">
        <f t="shared" ca="1" si="3"/>
        <v>0</v>
      </c>
      <c r="R24" s="95">
        <f t="shared" si="4"/>
        <v>0</v>
      </c>
      <c r="S24" s="95">
        <f t="shared" ca="1" si="5"/>
        <v>0</v>
      </c>
      <c r="T24" s="3" t="str">
        <f t="shared" si="6"/>
        <v>Leistungswert eintragen</v>
      </c>
      <c r="U24" s="3">
        <f t="shared" si="7"/>
        <v>0</v>
      </c>
    </row>
    <row r="25" spans="1:21" ht="15" customHeight="1" x14ac:dyDescent="0.2">
      <c r="A25" s="153">
        <v>4</v>
      </c>
      <c r="B25" s="165"/>
      <c r="C25" s="166" t="s">
        <v>316</v>
      </c>
      <c r="D25" s="166"/>
      <c r="E25" s="166" t="s">
        <v>288</v>
      </c>
      <c r="F25" s="166" t="s">
        <v>287</v>
      </c>
      <c r="G25" s="167">
        <v>2.0299999999999998</v>
      </c>
      <c r="H25" s="167"/>
      <c r="I25" s="167"/>
      <c r="J25" s="153" t="s">
        <v>313</v>
      </c>
      <c r="K25" s="167">
        <v>2</v>
      </c>
      <c r="L25" s="95">
        <f>VLOOKUP(K25,Reinigungstage!A10:G31,7,FALSE)</f>
        <v>105.26</v>
      </c>
      <c r="M25" s="95">
        <f t="shared" si="0"/>
        <v>213.68</v>
      </c>
      <c r="N25" s="168">
        <f t="shared" si="1"/>
        <v>0</v>
      </c>
      <c r="O25" s="95">
        <f ca="1">IF('SVS UnterhaltsRG'!H61="",0,'SVS UnterhaltsRG'!H61)</f>
        <v>0</v>
      </c>
      <c r="P25" s="95">
        <f t="shared" si="2"/>
        <v>0</v>
      </c>
      <c r="Q25" s="95">
        <f t="shared" ca="1" si="3"/>
        <v>0</v>
      </c>
      <c r="R25" s="95">
        <f t="shared" si="4"/>
        <v>0</v>
      </c>
      <c r="S25" s="95">
        <f t="shared" ca="1" si="5"/>
        <v>0</v>
      </c>
      <c r="T25" s="3" t="str">
        <f t="shared" si="6"/>
        <v>Leistungswert eintragen</v>
      </c>
      <c r="U25" s="3">
        <f t="shared" si="7"/>
        <v>0</v>
      </c>
    </row>
    <row r="26" spans="1:21" ht="15" customHeight="1" x14ac:dyDescent="0.2">
      <c r="A26" s="153">
        <v>5</v>
      </c>
      <c r="B26" s="165"/>
      <c r="C26" s="166" t="s">
        <v>316</v>
      </c>
      <c r="D26" s="166"/>
      <c r="E26" s="166" t="s">
        <v>339</v>
      </c>
      <c r="F26" s="166" t="s">
        <v>480</v>
      </c>
      <c r="G26" s="167">
        <v>3.14</v>
      </c>
      <c r="H26" s="167"/>
      <c r="I26" s="167"/>
      <c r="J26" s="153" t="s">
        <v>312</v>
      </c>
      <c r="K26" s="153" t="s">
        <v>162</v>
      </c>
      <c r="L26" s="95">
        <f>VLOOKUP(K26,Reinigungstage!A10:G31,7,FALSE)</f>
        <v>12</v>
      </c>
      <c r="M26" s="95">
        <f t="shared" si="0"/>
        <v>37.68</v>
      </c>
      <c r="N26" s="168">
        <f t="shared" si="1"/>
        <v>0</v>
      </c>
      <c r="O26" s="95">
        <f ca="1">IF('SVS UnterhaltsRG'!H61="",0,'SVS UnterhaltsRG'!H61)</f>
        <v>0</v>
      </c>
      <c r="P26" s="95">
        <f t="shared" si="2"/>
        <v>0</v>
      </c>
      <c r="Q26" s="95">
        <f t="shared" ca="1" si="3"/>
        <v>0</v>
      </c>
      <c r="R26" s="95">
        <f t="shared" si="4"/>
        <v>0</v>
      </c>
      <c r="S26" s="95">
        <f t="shared" ca="1" si="5"/>
        <v>0</v>
      </c>
      <c r="T26" s="3" t="str">
        <f t="shared" si="6"/>
        <v>Leistungswert eintragen</v>
      </c>
      <c r="U26" s="3">
        <f t="shared" si="7"/>
        <v>0</v>
      </c>
    </row>
    <row r="27" spans="1:21" ht="15" customHeight="1" x14ac:dyDescent="0.2">
      <c r="A27" s="153">
        <v>6</v>
      </c>
      <c r="B27" s="165"/>
      <c r="C27" s="166" t="s">
        <v>316</v>
      </c>
      <c r="D27" s="166" t="s">
        <v>481</v>
      </c>
      <c r="E27" s="166" t="s">
        <v>310</v>
      </c>
      <c r="F27" s="166" t="s">
        <v>280</v>
      </c>
      <c r="G27" s="167">
        <v>0</v>
      </c>
      <c r="H27" s="167"/>
      <c r="I27" s="167"/>
      <c r="J27" s="153" t="s">
        <v>310</v>
      </c>
      <c r="K27" s="167">
        <v>0</v>
      </c>
      <c r="L27" s="95">
        <f>VLOOKUP(K27,Reinigungstage!A10:G31,7,FALSE)</f>
        <v>0</v>
      </c>
      <c r="M27" s="95">
        <f t="shared" si="0"/>
        <v>0</v>
      </c>
      <c r="N27" s="168">
        <f t="shared" si="1"/>
        <v>0</v>
      </c>
      <c r="O27" s="95">
        <f ca="1">IF('SVS UnterhaltsRG'!H61="",0,'SVS UnterhaltsRG'!H61)</f>
        <v>0</v>
      </c>
      <c r="P27" s="95">
        <f t="shared" si="2"/>
        <v>0</v>
      </c>
      <c r="Q27" s="95">
        <f t="shared" si="3"/>
        <v>0</v>
      </c>
      <c r="R27" s="95">
        <f t="shared" si="4"/>
        <v>0</v>
      </c>
      <c r="S27" s="95">
        <f t="shared" si="5"/>
        <v>0</v>
      </c>
      <c r="T27" s="3" t="str">
        <f t="shared" si="6"/>
        <v/>
      </c>
      <c r="U27" s="3">
        <f t="shared" si="7"/>
        <v>0</v>
      </c>
    </row>
    <row r="28" spans="1:21" ht="15" customHeight="1" x14ac:dyDescent="0.2">
      <c r="A28" s="153">
        <v>7</v>
      </c>
      <c r="B28" s="165" t="s">
        <v>482</v>
      </c>
      <c r="C28" s="166" t="s">
        <v>316</v>
      </c>
      <c r="D28" s="166" t="s">
        <v>479</v>
      </c>
      <c r="E28" s="166" t="s">
        <v>339</v>
      </c>
      <c r="F28" s="166" t="s">
        <v>287</v>
      </c>
      <c r="G28" s="167">
        <v>13.08</v>
      </c>
      <c r="H28" s="167"/>
      <c r="I28" s="167"/>
      <c r="J28" s="153" t="s">
        <v>312</v>
      </c>
      <c r="K28" s="153" t="s">
        <v>162</v>
      </c>
      <c r="L28" s="95">
        <f>VLOOKUP(K28,Reinigungstage!A10:G31,7,FALSE)</f>
        <v>12</v>
      </c>
      <c r="M28" s="95">
        <f t="shared" si="0"/>
        <v>156.96</v>
      </c>
      <c r="N28" s="168">
        <f t="shared" si="1"/>
        <v>0</v>
      </c>
      <c r="O28" s="95">
        <f ca="1">IF('SVS UnterhaltsRG'!H61="",0,'SVS UnterhaltsRG'!H61)</f>
        <v>0</v>
      </c>
      <c r="P28" s="95">
        <f t="shared" si="2"/>
        <v>0</v>
      </c>
      <c r="Q28" s="95">
        <f t="shared" ca="1" si="3"/>
        <v>0</v>
      </c>
      <c r="R28" s="95">
        <f t="shared" si="4"/>
        <v>0</v>
      </c>
      <c r="S28" s="95">
        <f t="shared" ca="1" si="5"/>
        <v>0</v>
      </c>
      <c r="T28" s="3" t="str">
        <f t="shared" si="6"/>
        <v>Leistungswert eintragen</v>
      </c>
      <c r="U28" s="3">
        <f t="shared" si="7"/>
        <v>0</v>
      </c>
    </row>
    <row r="29" spans="1:21" ht="15" customHeight="1" x14ac:dyDescent="0.2">
      <c r="A29" s="153">
        <v>8</v>
      </c>
      <c r="B29" s="165" t="s">
        <v>483</v>
      </c>
      <c r="C29" s="166" t="s">
        <v>316</v>
      </c>
      <c r="D29" s="166"/>
      <c r="E29" s="166" t="s">
        <v>484</v>
      </c>
      <c r="F29" s="166" t="s">
        <v>287</v>
      </c>
      <c r="G29" s="167">
        <v>52.13</v>
      </c>
      <c r="H29" s="167"/>
      <c r="I29" s="167"/>
      <c r="J29" s="153" t="s">
        <v>315</v>
      </c>
      <c r="K29" s="167">
        <v>1</v>
      </c>
      <c r="L29" s="95">
        <f>VLOOKUP(K29,Reinigungstage!A10:G31,7,FALSE)</f>
        <v>52.62</v>
      </c>
      <c r="M29" s="95">
        <f t="shared" si="0"/>
        <v>2743.08</v>
      </c>
      <c r="N29" s="168">
        <f t="shared" si="1"/>
        <v>0</v>
      </c>
      <c r="O29" s="95">
        <f ca="1">IF('SVS UnterhaltsRG'!H61="",0,'SVS UnterhaltsRG'!H61)</f>
        <v>0</v>
      </c>
      <c r="P29" s="95">
        <f t="shared" si="2"/>
        <v>0</v>
      </c>
      <c r="Q29" s="95">
        <f t="shared" ca="1" si="3"/>
        <v>0</v>
      </c>
      <c r="R29" s="95">
        <f t="shared" si="4"/>
        <v>0</v>
      </c>
      <c r="S29" s="95">
        <f t="shared" ca="1" si="5"/>
        <v>0</v>
      </c>
      <c r="T29" s="3" t="str">
        <f t="shared" si="6"/>
        <v>Leistungswert eintragen</v>
      </c>
      <c r="U29" s="3">
        <f t="shared" si="7"/>
        <v>0</v>
      </c>
    </row>
    <row r="30" spans="1:21" ht="15" customHeight="1" x14ac:dyDescent="0.2">
      <c r="A30" s="153">
        <v>9</v>
      </c>
      <c r="B30" s="165" t="s">
        <v>485</v>
      </c>
      <c r="C30" s="166" t="s">
        <v>316</v>
      </c>
      <c r="D30" s="166"/>
      <c r="E30" s="166" t="s">
        <v>339</v>
      </c>
      <c r="F30" s="166" t="s">
        <v>287</v>
      </c>
      <c r="G30" s="167">
        <v>19.510000000000002</v>
      </c>
      <c r="H30" s="167"/>
      <c r="I30" s="167"/>
      <c r="J30" s="153" t="s">
        <v>312</v>
      </c>
      <c r="K30" s="153" t="s">
        <v>162</v>
      </c>
      <c r="L30" s="95">
        <f>VLOOKUP(K30,Reinigungstage!A10:G31,7,FALSE)</f>
        <v>12</v>
      </c>
      <c r="M30" s="95">
        <f t="shared" si="0"/>
        <v>234.12</v>
      </c>
      <c r="N30" s="168">
        <f t="shared" si="1"/>
        <v>0</v>
      </c>
      <c r="O30" s="95">
        <f ca="1">IF('SVS UnterhaltsRG'!H61="",0,'SVS UnterhaltsRG'!H61)</f>
        <v>0</v>
      </c>
      <c r="P30" s="95">
        <f t="shared" si="2"/>
        <v>0</v>
      </c>
      <c r="Q30" s="95">
        <f t="shared" ca="1" si="3"/>
        <v>0</v>
      </c>
      <c r="R30" s="95">
        <f t="shared" si="4"/>
        <v>0</v>
      </c>
      <c r="S30" s="95">
        <f t="shared" ca="1" si="5"/>
        <v>0</v>
      </c>
      <c r="T30" s="3" t="str">
        <f t="shared" si="6"/>
        <v>Leistungswert eintragen</v>
      </c>
      <c r="U30" s="3">
        <f t="shared" si="7"/>
        <v>0</v>
      </c>
    </row>
    <row r="31" spans="1:21" ht="15" customHeight="1" x14ac:dyDescent="0.2">
      <c r="A31" s="153">
        <v>10</v>
      </c>
      <c r="B31" s="165" t="s">
        <v>485</v>
      </c>
      <c r="C31" s="166" t="s">
        <v>316</v>
      </c>
      <c r="D31" s="166"/>
      <c r="E31" s="166" t="s">
        <v>339</v>
      </c>
      <c r="F31" s="166" t="s">
        <v>480</v>
      </c>
      <c r="G31" s="167">
        <v>14.04</v>
      </c>
      <c r="H31" s="167"/>
      <c r="I31" s="167"/>
      <c r="J31" s="153" t="s">
        <v>312</v>
      </c>
      <c r="K31" s="153" t="s">
        <v>162</v>
      </c>
      <c r="L31" s="95">
        <f>VLOOKUP(K31,Reinigungstage!A10:G31,7,FALSE)</f>
        <v>12</v>
      </c>
      <c r="M31" s="95">
        <f t="shared" si="0"/>
        <v>168.48</v>
      </c>
      <c r="N31" s="168">
        <f t="shared" si="1"/>
        <v>0</v>
      </c>
      <c r="O31" s="95">
        <f ca="1">IF('SVS UnterhaltsRG'!H61="",0,'SVS UnterhaltsRG'!H61)</f>
        <v>0</v>
      </c>
      <c r="P31" s="95">
        <f t="shared" si="2"/>
        <v>0</v>
      </c>
      <c r="Q31" s="95">
        <f t="shared" ca="1" si="3"/>
        <v>0</v>
      </c>
      <c r="R31" s="95">
        <f t="shared" si="4"/>
        <v>0</v>
      </c>
      <c r="S31" s="95">
        <f t="shared" ca="1" si="5"/>
        <v>0</v>
      </c>
      <c r="T31" s="3" t="str">
        <f t="shared" si="6"/>
        <v>Leistungswert eintragen</v>
      </c>
      <c r="U31" s="3">
        <f t="shared" si="7"/>
        <v>0</v>
      </c>
    </row>
    <row r="32" spans="1:21" ht="15" customHeight="1" x14ac:dyDescent="0.2">
      <c r="A32" s="153">
        <v>11</v>
      </c>
      <c r="B32" s="165"/>
      <c r="C32" s="166" t="s">
        <v>316</v>
      </c>
      <c r="D32" s="166">
        <v>223</v>
      </c>
      <c r="E32" s="166" t="s">
        <v>288</v>
      </c>
      <c r="F32" s="166" t="s">
        <v>287</v>
      </c>
      <c r="G32" s="167">
        <v>24.35</v>
      </c>
      <c r="H32" s="167"/>
      <c r="I32" s="167"/>
      <c r="J32" s="153" t="s">
        <v>313</v>
      </c>
      <c r="K32" s="167">
        <v>1</v>
      </c>
      <c r="L32" s="95">
        <f>VLOOKUP(K32,Reinigungstage!A10:G31,7,FALSE)</f>
        <v>52.62</v>
      </c>
      <c r="M32" s="95">
        <f t="shared" si="0"/>
        <v>1281.3</v>
      </c>
      <c r="N32" s="168">
        <f t="shared" si="1"/>
        <v>0</v>
      </c>
      <c r="O32" s="95">
        <f ca="1">IF('SVS UnterhaltsRG'!H61="",0,'SVS UnterhaltsRG'!H61)</f>
        <v>0</v>
      </c>
      <c r="P32" s="95">
        <f t="shared" si="2"/>
        <v>0</v>
      </c>
      <c r="Q32" s="95">
        <f t="shared" ca="1" si="3"/>
        <v>0</v>
      </c>
      <c r="R32" s="95">
        <f t="shared" si="4"/>
        <v>0</v>
      </c>
      <c r="S32" s="95">
        <f t="shared" ca="1" si="5"/>
        <v>0</v>
      </c>
      <c r="T32" s="3" t="str">
        <f t="shared" si="6"/>
        <v>Leistungswert eintragen</v>
      </c>
      <c r="U32" s="3">
        <f t="shared" si="7"/>
        <v>0</v>
      </c>
    </row>
    <row r="33" spans="1:21" ht="15" customHeight="1" x14ac:dyDescent="0.2">
      <c r="A33" s="153">
        <v>12</v>
      </c>
      <c r="B33" s="165"/>
      <c r="C33" s="166" t="s">
        <v>316</v>
      </c>
      <c r="D33" s="166"/>
      <c r="E33" s="166" t="s">
        <v>309</v>
      </c>
      <c r="F33" s="166" t="s">
        <v>287</v>
      </c>
      <c r="G33" s="167">
        <v>1.96</v>
      </c>
      <c r="H33" s="167"/>
      <c r="I33" s="167"/>
      <c r="J33" s="153" t="s">
        <v>310</v>
      </c>
      <c r="K33" s="167">
        <v>1</v>
      </c>
      <c r="L33" s="95">
        <f>VLOOKUP(K33,Reinigungstage!A10:G31,7,FALSE)</f>
        <v>52.62</v>
      </c>
      <c r="M33" s="95">
        <f t="shared" si="0"/>
        <v>103.14</v>
      </c>
      <c r="N33" s="168">
        <f t="shared" si="1"/>
        <v>0</v>
      </c>
      <c r="O33" s="95">
        <f ca="1">IF('SVS UnterhaltsRG'!H61="",0,'SVS UnterhaltsRG'!H61)</f>
        <v>0</v>
      </c>
      <c r="P33" s="95">
        <f t="shared" si="2"/>
        <v>0</v>
      </c>
      <c r="Q33" s="95">
        <f t="shared" ca="1" si="3"/>
        <v>0</v>
      </c>
      <c r="R33" s="95">
        <f t="shared" si="4"/>
        <v>0</v>
      </c>
      <c r="S33" s="95">
        <f t="shared" ca="1" si="5"/>
        <v>0</v>
      </c>
      <c r="T33" s="3" t="str">
        <f t="shared" si="6"/>
        <v>Leistungswert eintragen</v>
      </c>
      <c r="U33" s="3">
        <f t="shared" si="7"/>
        <v>0</v>
      </c>
    </row>
    <row r="34" spans="1:21" ht="15" customHeight="1" x14ac:dyDescent="0.2">
      <c r="A34" s="153">
        <v>13</v>
      </c>
      <c r="B34" s="165"/>
      <c r="C34" s="166" t="s">
        <v>316</v>
      </c>
      <c r="D34" s="166"/>
      <c r="E34" s="166" t="s">
        <v>310</v>
      </c>
      <c r="F34" s="166" t="s">
        <v>287</v>
      </c>
      <c r="G34" s="167">
        <v>9.3699999999999992</v>
      </c>
      <c r="H34" s="167"/>
      <c r="I34" s="167"/>
      <c r="J34" s="153" t="s">
        <v>310</v>
      </c>
      <c r="K34" s="167">
        <v>1</v>
      </c>
      <c r="L34" s="95">
        <f>VLOOKUP(K34,Reinigungstage!A10:G31,7,FALSE)</f>
        <v>52.62</v>
      </c>
      <c r="M34" s="95">
        <f t="shared" si="0"/>
        <v>493.05</v>
      </c>
      <c r="N34" s="168">
        <f t="shared" si="1"/>
        <v>0</v>
      </c>
      <c r="O34" s="95">
        <f ca="1">IF('SVS UnterhaltsRG'!H61="",0,'SVS UnterhaltsRG'!H61)</f>
        <v>0</v>
      </c>
      <c r="P34" s="95">
        <f t="shared" si="2"/>
        <v>0</v>
      </c>
      <c r="Q34" s="95">
        <f t="shared" ca="1" si="3"/>
        <v>0</v>
      </c>
      <c r="R34" s="95">
        <f t="shared" si="4"/>
        <v>0</v>
      </c>
      <c r="S34" s="95">
        <f t="shared" ca="1" si="5"/>
        <v>0</v>
      </c>
      <c r="T34" s="3" t="str">
        <f t="shared" si="6"/>
        <v>Leistungswert eintragen</v>
      </c>
      <c r="U34" s="3">
        <f t="shared" si="7"/>
        <v>0</v>
      </c>
    </row>
    <row r="35" spans="1:21" ht="15" customHeight="1" x14ac:dyDescent="0.2">
      <c r="A35" s="153">
        <v>14</v>
      </c>
      <c r="B35" s="165"/>
      <c r="C35" s="166" t="s">
        <v>306</v>
      </c>
      <c r="D35" s="166"/>
      <c r="E35" s="166" t="s">
        <v>295</v>
      </c>
      <c r="F35" s="166" t="s">
        <v>293</v>
      </c>
      <c r="G35" s="167">
        <v>2.6</v>
      </c>
      <c r="H35" s="167"/>
      <c r="I35" s="167"/>
      <c r="J35" s="153" t="s">
        <v>314</v>
      </c>
      <c r="K35" s="167">
        <v>5</v>
      </c>
      <c r="L35" s="95">
        <f>VLOOKUP(K35,Reinigungstage!A10:G31,7,FALSE)</f>
        <v>253.33</v>
      </c>
      <c r="M35" s="95">
        <f t="shared" si="0"/>
        <v>658.66</v>
      </c>
      <c r="N35" s="168">
        <f t="shared" si="1"/>
        <v>0</v>
      </c>
      <c r="O35" s="95">
        <f ca="1">IF('SVS UnterhaltsRG'!H61="",0,'SVS UnterhaltsRG'!H61)</f>
        <v>0</v>
      </c>
      <c r="P35" s="95">
        <f t="shared" si="2"/>
        <v>0</v>
      </c>
      <c r="Q35" s="95">
        <f t="shared" ca="1" si="3"/>
        <v>0</v>
      </c>
      <c r="R35" s="95">
        <f t="shared" si="4"/>
        <v>0</v>
      </c>
      <c r="S35" s="95">
        <f t="shared" ca="1" si="5"/>
        <v>0</v>
      </c>
      <c r="T35" s="3" t="str">
        <f t="shared" si="6"/>
        <v>Leistungswert eintragen</v>
      </c>
      <c r="U35" s="3">
        <f t="shared" si="7"/>
        <v>0</v>
      </c>
    </row>
    <row r="36" spans="1:21" ht="15" customHeight="1" x14ac:dyDescent="0.2">
      <c r="A36" s="153">
        <v>15</v>
      </c>
      <c r="B36" s="165" t="s">
        <v>486</v>
      </c>
      <c r="C36" s="166" t="s">
        <v>306</v>
      </c>
      <c r="D36" s="166"/>
      <c r="E36" s="166" t="s">
        <v>392</v>
      </c>
      <c r="F36" s="166" t="s">
        <v>287</v>
      </c>
      <c r="G36" s="167">
        <v>11.09</v>
      </c>
      <c r="H36" s="167"/>
      <c r="I36" s="167"/>
      <c r="J36" s="153" t="s">
        <v>312</v>
      </c>
      <c r="K36" s="153" t="s">
        <v>162</v>
      </c>
      <c r="L36" s="95">
        <f>VLOOKUP(K36,Reinigungstage!A10:G31,7,FALSE)</f>
        <v>12</v>
      </c>
      <c r="M36" s="95">
        <f t="shared" si="0"/>
        <v>133.08000000000001</v>
      </c>
      <c r="N36" s="168">
        <f t="shared" si="1"/>
        <v>0</v>
      </c>
      <c r="O36" s="95">
        <f ca="1">IF('SVS UnterhaltsRG'!H61="",0,'SVS UnterhaltsRG'!H61)</f>
        <v>0</v>
      </c>
      <c r="P36" s="95">
        <f t="shared" si="2"/>
        <v>0</v>
      </c>
      <c r="Q36" s="95">
        <f t="shared" ca="1" si="3"/>
        <v>0</v>
      </c>
      <c r="R36" s="95">
        <f t="shared" si="4"/>
        <v>0</v>
      </c>
      <c r="S36" s="95">
        <f t="shared" ca="1" si="5"/>
        <v>0</v>
      </c>
      <c r="T36" s="3" t="str">
        <f t="shared" si="6"/>
        <v>Leistungswert eintragen</v>
      </c>
      <c r="U36" s="3">
        <f t="shared" si="7"/>
        <v>0</v>
      </c>
    </row>
    <row r="37" spans="1:21" ht="15" customHeight="1" x14ac:dyDescent="0.2">
      <c r="A37" s="153">
        <v>16</v>
      </c>
      <c r="B37" s="165" t="s">
        <v>487</v>
      </c>
      <c r="C37" s="166" t="s">
        <v>306</v>
      </c>
      <c r="D37" s="166"/>
      <c r="E37" s="166" t="s">
        <v>488</v>
      </c>
      <c r="F37" s="166" t="s">
        <v>287</v>
      </c>
      <c r="G37" s="167">
        <v>9.02</v>
      </c>
      <c r="H37" s="167"/>
      <c r="I37" s="167"/>
      <c r="J37" s="153" t="s">
        <v>312</v>
      </c>
      <c r="K37" s="153" t="s">
        <v>162</v>
      </c>
      <c r="L37" s="95">
        <f>VLOOKUP(K37,Reinigungstage!A10:G31,7,FALSE)</f>
        <v>12</v>
      </c>
      <c r="M37" s="95">
        <f t="shared" si="0"/>
        <v>108.24</v>
      </c>
      <c r="N37" s="168">
        <f t="shared" si="1"/>
        <v>0</v>
      </c>
      <c r="O37" s="95">
        <f ca="1">IF('SVS UnterhaltsRG'!H61="",0,'SVS UnterhaltsRG'!H61)</f>
        <v>0</v>
      </c>
      <c r="P37" s="95">
        <f t="shared" si="2"/>
        <v>0</v>
      </c>
      <c r="Q37" s="95">
        <f t="shared" ca="1" si="3"/>
        <v>0</v>
      </c>
      <c r="R37" s="95">
        <f t="shared" si="4"/>
        <v>0</v>
      </c>
      <c r="S37" s="95">
        <f t="shared" ca="1" si="5"/>
        <v>0</v>
      </c>
      <c r="T37" s="3" t="str">
        <f t="shared" si="6"/>
        <v>Leistungswert eintragen</v>
      </c>
      <c r="U37" s="3">
        <f t="shared" si="7"/>
        <v>0</v>
      </c>
    </row>
    <row r="38" spans="1:21" ht="15" customHeight="1" x14ac:dyDescent="0.2">
      <c r="A38" s="153">
        <v>17</v>
      </c>
      <c r="B38" s="165"/>
      <c r="C38" s="166" t="s">
        <v>306</v>
      </c>
      <c r="D38" s="166">
        <v>111</v>
      </c>
      <c r="E38" s="166" t="s">
        <v>288</v>
      </c>
      <c r="F38" s="166" t="s">
        <v>287</v>
      </c>
      <c r="G38" s="167">
        <v>7.96</v>
      </c>
      <c r="H38" s="167"/>
      <c r="I38" s="167"/>
      <c r="J38" s="153" t="s">
        <v>313</v>
      </c>
      <c r="K38" s="167">
        <v>5</v>
      </c>
      <c r="L38" s="95">
        <f>VLOOKUP(K38,Reinigungstage!A10:G31,7,FALSE)</f>
        <v>253.33</v>
      </c>
      <c r="M38" s="95">
        <f t="shared" si="0"/>
        <v>2016.51</v>
      </c>
      <c r="N38" s="168">
        <f t="shared" si="1"/>
        <v>0</v>
      </c>
      <c r="O38" s="95">
        <f ca="1">IF('SVS UnterhaltsRG'!H61="",0,'SVS UnterhaltsRG'!H61)</f>
        <v>0</v>
      </c>
      <c r="P38" s="95">
        <f t="shared" si="2"/>
        <v>0</v>
      </c>
      <c r="Q38" s="95">
        <f t="shared" ca="1" si="3"/>
        <v>0</v>
      </c>
      <c r="R38" s="95">
        <f t="shared" si="4"/>
        <v>0</v>
      </c>
      <c r="S38" s="95">
        <f t="shared" ca="1" si="5"/>
        <v>0</v>
      </c>
      <c r="T38" s="3" t="str">
        <f t="shared" si="6"/>
        <v>Leistungswert eintragen</v>
      </c>
      <c r="U38" s="3">
        <f t="shared" si="7"/>
        <v>0</v>
      </c>
    </row>
    <row r="39" spans="1:21" ht="15" customHeight="1" x14ac:dyDescent="0.2">
      <c r="A39" s="153">
        <v>18</v>
      </c>
      <c r="B39" s="165" t="s">
        <v>489</v>
      </c>
      <c r="C39" s="166" t="s">
        <v>306</v>
      </c>
      <c r="D39" s="166"/>
      <c r="E39" s="166" t="s">
        <v>402</v>
      </c>
      <c r="F39" s="166" t="s">
        <v>330</v>
      </c>
      <c r="G39" s="167">
        <v>22.65</v>
      </c>
      <c r="H39" s="167"/>
      <c r="I39" s="167"/>
      <c r="J39" s="153" t="s">
        <v>402</v>
      </c>
      <c r="K39" s="167">
        <v>2</v>
      </c>
      <c r="L39" s="95">
        <f>VLOOKUP(K39,Reinigungstage!A10:G31,7,FALSE)</f>
        <v>105.26</v>
      </c>
      <c r="M39" s="95">
        <f t="shared" si="0"/>
        <v>2384.14</v>
      </c>
      <c r="N39" s="168">
        <f t="shared" si="1"/>
        <v>0</v>
      </c>
      <c r="O39" s="95">
        <f ca="1">IF('SVS UnterhaltsRG'!H61="",0,'SVS UnterhaltsRG'!H61)</f>
        <v>0</v>
      </c>
      <c r="P39" s="95">
        <f t="shared" si="2"/>
        <v>0</v>
      </c>
      <c r="Q39" s="95">
        <f t="shared" ca="1" si="3"/>
        <v>0</v>
      </c>
      <c r="R39" s="95">
        <f t="shared" si="4"/>
        <v>0</v>
      </c>
      <c r="S39" s="95">
        <f t="shared" ca="1" si="5"/>
        <v>0</v>
      </c>
      <c r="T39" s="3" t="str">
        <f t="shared" si="6"/>
        <v>Leistungswert eintragen</v>
      </c>
      <c r="U39" s="3">
        <f t="shared" si="7"/>
        <v>0</v>
      </c>
    </row>
    <row r="40" spans="1:21" ht="15" customHeight="1" x14ac:dyDescent="0.2">
      <c r="A40" s="153">
        <v>19</v>
      </c>
      <c r="B40" s="165" t="s">
        <v>490</v>
      </c>
      <c r="C40" s="166" t="s">
        <v>306</v>
      </c>
      <c r="D40" s="166"/>
      <c r="E40" s="166" t="s">
        <v>402</v>
      </c>
      <c r="F40" s="166" t="s">
        <v>491</v>
      </c>
      <c r="G40" s="167">
        <v>32.869999999999997</v>
      </c>
      <c r="H40" s="167"/>
      <c r="I40" s="167"/>
      <c r="J40" s="153" t="s">
        <v>402</v>
      </c>
      <c r="K40" s="167">
        <v>2</v>
      </c>
      <c r="L40" s="95">
        <f>VLOOKUP(K40,Reinigungstage!A10:G31,7,FALSE)</f>
        <v>105.26</v>
      </c>
      <c r="M40" s="95">
        <f t="shared" si="0"/>
        <v>3459.9</v>
      </c>
      <c r="N40" s="168">
        <f t="shared" si="1"/>
        <v>0</v>
      </c>
      <c r="O40" s="95">
        <f ca="1">IF('SVS UnterhaltsRG'!H61="",0,'SVS UnterhaltsRG'!H61)</f>
        <v>0</v>
      </c>
      <c r="P40" s="95">
        <f t="shared" si="2"/>
        <v>0</v>
      </c>
      <c r="Q40" s="95">
        <f t="shared" ca="1" si="3"/>
        <v>0</v>
      </c>
      <c r="R40" s="95">
        <f t="shared" si="4"/>
        <v>0</v>
      </c>
      <c r="S40" s="95">
        <f t="shared" ca="1" si="5"/>
        <v>0</v>
      </c>
      <c r="T40" s="3" t="str">
        <f t="shared" si="6"/>
        <v>Leistungswert eintragen</v>
      </c>
      <c r="U40" s="3">
        <f t="shared" si="7"/>
        <v>0</v>
      </c>
    </row>
    <row r="41" spans="1:21" ht="15" customHeight="1" x14ac:dyDescent="0.2">
      <c r="A41" s="153">
        <v>20</v>
      </c>
      <c r="B41" s="165"/>
      <c r="C41" s="166" t="s">
        <v>306</v>
      </c>
      <c r="D41" s="166">
        <v>108</v>
      </c>
      <c r="E41" s="166" t="s">
        <v>402</v>
      </c>
      <c r="F41" s="166" t="s">
        <v>491</v>
      </c>
      <c r="G41" s="167">
        <v>22.01</v>
      </c>
      <c r="H41" s="167"/>
      <c r="I41" s="167"/>
      <c r="J41" s="153" t="s">
        <v>402</v>
      </c>
      <c r="K41" s="167">
        <v>2</v>
      </c>
      <c r="L41" s="95">
        <f>VLOOKUP(K41,Reinigungstage!A10:G31,7,FALSE)</f>
        <v>105.26</v>
      </c>
      <c r="M41" s="95">
        <f t="shared" si="0"/>
        <v>2316.77</v>
      </c>
      <c r="N41" s="168">
        <f t="shared" si="1"/>
        <v>0</v>
      </c>
      <c r="O41" s="95">
        <f ca="1">IF('SVS UnterhaltsRG'!H61="",0,'SVS UnterhaltsRG'!H61)</f>
        <v>0</v>
      </c>
      <c r="P41" s="95">
        <f t="shared" si="2"/>
        <v>0</v>
      </c>
      <c r="Q41" s="95">
        <f t="shared" ca="1" si="3"/>
        <v>0</v>
      </c>
      <c r="R41" s="95">
        <f t="shared" si="4"/>
        <v>0</v>
      </c>
      <c r="S41" s="95">
        <f t="shared" ca="1" si="5"/>
        <v>0</v>
      </c>
      <c r="T41" s="3" t="str">
        <f t="shared" si="6"/>
        <v>Leistungswert eintragen</v>
      </c>
      <c r="U41" s="3">
        <f t="shared" si="7"/>
        <v>0</v>
      </c>
    </row>
    <row r="42" spans="1:21" ht="15" customHeight="1" x14ac:dyDescent="0.2">
      <c r="A42" s="153">
        <v>21</v>
      </c>
      <c r="B42" s="165" t="s">
        <v>492</v>
      </c>
      <c r="C42" s="166" t="s">
        <v>306</v>
      </c>
      <c r="D42" s="166"/>
      <c r="E42" s="166" t="s">
        <v>493</v>
      </c>
      <c r="F42" s="166" t="s">
        <v>491</v>
      </c>
      <c r="G42" s="167">
        <v>29.34</v>
      </c>
      <c r="H42" s="167"/>
      <c r="I42" s="167"/>
      <c r="J42" s="153" t="s">
        <v>402</v>
      </c>
      <c r="K42" s="167">
        <v>2</v>
      </c>
      <c r="L42" s="95">
        <f>VLOOKUP(K42,Reinigungstage!A10:G31,7,FALSE)</f>
        <v>105.26</v>
      </c>
      <c r="M42" s="95">
        <f t="shared" si="0"/>
        <v>3088.33</v>
      </c>
      <c r="N42" s="168">
        <f t="shared" si="1"/>
        <v>0</v>
      </c>
      <c r="O42" s="95">
        <f ca="1">IF('SVS UnterhaltsRG'!H61="",0,'SVS UnterhaltsRG'!H61)</f>
        <v>0</v>
      </c>
      <c r="P42" s="95">
        <f t="shared" si="2"/>
        <v>0</v>
      </c>
      <c r="Q42" s="95">
        <f t="shared" ca="1" si="3"/>
        <v>0</v>
      </c>
      <c r="R42" s="95">
        <f t="shared" si="4"/>
        <v>0</v>
      </c>
      <c r="S42" s="95">
        <f t="shared" ca="1" si="5"/>
        <v>0</v>
      </c>
      <c r="T42" s="3" t="str">
        <f t="shared" si="6"/>
        <v>Leistungswert eintragen</v>
      </c>
      <c r="U42" s="3">
        <f t="shared" si="7"/>
        <v>0</v>
      </c>
    </row>
    <row r="43" spans="1:21" ht="15" customHeight="1" x14ac:dyDescent="0.2">
      <c r="A43" s="153">
        <v>22</v>
      </c>
      <c r="B43" s="165" t="s">
        <v>494</v>
      </c>
      <c r="C43" s="166" t="s">
        <v>306</v>
      </c>
      <c r="D43" s="166"/>
      <c r="E43" s="166" t="s">
        <v>402</v>
      </c>
      <c r="F43" s="166" t="s">
        <v>495</v>
      </c>
      <c r="G43" s="167">
        <v>16.239999999999998</v>
      </c>
      <c r="H43" s="167"/>
      <c r="I43" s="167"/>
      <c r="J43" s="153" t="s">
        <v>402</v>
      </c>
      <c r="K43" s="167">
        <v>2</v>
      </c>
      <c r="L43" s="95">
        <f>VLOOKUP(K43,Reinigungstage!A10:G31,7,FALSE)</f>
        <v>105.26</v>
      </c>
      <c r="M43" s="95">
        <f t="shared" si="0"/>
        <v>1709.42</v>
      </c>
      <c r="N43" s="168">
        <f t="shared" si="1"/>
        <v>0</v>
      </c>
      <c r="O43" s="95">
        <f ca="1">IF('SVS UnterhaltsRG'!H61="",0,'SVS UnterhaltsRG'!H61)</f>
        <v>0</v>
      </c>
      <c r="P43" s="95">
        <f t="shared" si="2"/>
        <v>0</v>
      </c>
      <c r="Q43" s="95">
        <f t="shared" ca="1" si="3"/>
        <v>0</v>
      </c>
      <c r="R43" s="95">
        <f t="shared" si="4"/>
        <v>0</v>
      </c>
      <c r="S43" s="95">
        <f t="shared" ca="1" si="5"/>
        <v>0</v>
      </c>
      <c r="T43" s="3" t="str">
        <f t="shared" si="6"/>
        <v>Leistungswert eintragen</v>
      </c>
      <c r="U43" s="3">
        <f t="shared" si="7"/>
        <v>0</v>
      </c>
    </row>
    <row r="44" spans="1:21" ht="15" customHeight="1" x14ac:dyDescent="0.2">
      <c r="A44" s="153">
        <v>23</v>
      </c>
      <c r="B44" s="165" t="s">
        <v>494</v>
      </c>
      <c r="C44" s="166" t="s">
        <v>306</v>
      </c>
      <c r="D44" s="166"/>
      <c r="E44" s="166" t="s">
        <v>402</v>
      </c>
      <c r="F44" s="166" t="s">
        <v>495</v>
      </c>
      <c r="G44" s="167">
        <v>15.97</v>
      </c>
      <c r="H44" s="167"/>
      <c r="I44" s="167"/>
      <c r="J44" s="153" t="s">
        <v>402</v>
      </c>
      <c r="K44" s="167">
        <v>2</v>
      </c>
      <c r="L44" s="95">
        <f>VLOOKUP(K44,Reinigungstage!A10:G31,7,FALSE)</f>
        <v>105.26</v>
      </c>
      <c r="M44" s="95">
        <f t="shared" si="0"/>
        <v>1681</v>
      </c>
      <c r="N44" s="168">
        <f t="shared" si="1"/>
        <v>0</v>
      </c>
      <c r="O44" s="95">
        <f ca="1">IF('SVS UnterhaltsRG'!H61="",0,'SVS UnterhaltsRG'!H61)</f>
        <v>0</v>
      </c>
      <c r="P44" s="95">
        <f t="shared" si="2"/>
        <v>0</v>
      </c>
      <c r="Q44" s="95">
        <f t="shared" ca="1" si="3"/>
        <v>0</v>
      </c>
      <c r="R44" s="95">
        <f t="shared" si="4"/>
        <v>0</v>
      </c>
      <c r="S44" s="95">
        <f t="shared" ca="1" si="5"/>
        <v>0</v>
      </c>
      <c r="T44" s="3" t="str">
        <f t="shared" si="6"/>
        <v>Leistungswert eintragen</v>
      </c>
      <c r="U44" s="3">
        <f t="shared" si="7"/>
        <v>0</v>
      </c>
    </row>
    <row r="45" spans="1:21" ht="15" customHeight="1" x14ac:dyDescent="0.2">
      <c r="A45" s="153">
        <v>24</v>
      </c>
      <c r="B45" s="165" t="s">
        <v>494</v>
      </c>
      <c r="C45" s="166" t="s">
        <v>306</v>
      </c>
      <c r="D45" s="166"/>
      <c r="E45" s="166" t="s">
        <v>288</v>
      </c>
      <c r="F45" s="166" t="s">
        <v>495</v>
      </c>
      <c r="G45" s="167">
        <v>3.38</v>
      </c>
      <c r="H45" s="167"/>
      <c r="I45" s="167"/>
      <c r="J45" s="153" t="s">
        <v>313</v>
      </c>
      <c r="K45" s="167">
        <v>5</v>
      </c>
      <c r="L45" s="95">
        <f>VLOOKUP(K45,Reinigungstage!A10:G31,7,FALSE)</f>
        <v>253.33</v>
      </c>
      <c r="M45" s="95">
        <f t="shared" si="0"/>
        <v>856.26</v>
      </c>
      <c r="N45" s="168">
        <f t="shared" si="1"/>
        <v>0</v>
      </c>
      <c r="O45" s="95">
        <f ca="1">IF('SVS UnterhaltsRG'!H61="",0,'SVS UnterhaltsRG'!H61)</f>
        <v>0</v>
      </c>
      <c r="P45" s="95">
        <f t="shared" si="2"/>
        <v>0</v>
      </c>
      <c r="Q45" s="95">
        <f t="shared" ca="1" si="3"/>
        <v>0</v>
      </c>
      <c r="R45" s="95">
        <f t="shared" si="4"/>
        <v>0</v>
      </c>
      <c r="S45" s="95">
        <f t="shared" ca="1" si="5"/>
        <v>0</v>
      </c>
      <c r="T45" s="3" t="str">
        <f t="shared" si="6"/>
        <v>Leistungswert eintragen</v>
      </c>
      <c r="U45" s="3">
        <f t="shared" si="7"/>
        <v>0</v>
      </c>
    </row>
    <row r="46" spans="1:21" ht="15" customHeight="1" x14ac:dyDescent="0.2">
      <c r="A46" s="153">
        <v>25</v>
      </c>
      <c r="B46" s="165" t="s">
        <v>494</v>
      </c>
      <c r="C46" s="166" t="s">
        <v>306</v>
      </c>
      <c r="D46" s="166"/>
      <c r="E46" s="166" t="s">
        <v>402</v>
      </c>
      <c r="F46" s="166" t="s">
        <v>495</v>
      </c>
      <c r="G46" s="167">
        <v>10.95</v>
      </c>
      <c r="H46" s="167"/>
      <c r="I46" s="167"/>
      <c r="J46" s="153" t="s">
        <v>402</v>
      </c>
      <c r="K46" s="167">
        <v>2</v>
      </c>
      <c r="L46" s="95">
        <f>VLOOKUP(K46,Reinigungstage!A10:G31,7,FALSE)</f>
        <v>105.26</v>
      </c>
      <c r="M46" s="95">
        <f t="shared" si="0"/>
        <v>1152.5999999999999</v>
      </c>
      <c r="N46" s="168">
        <f t="shared" si="1"/>
        <v>0</v>
      </c>
      <c r="O46" s="95">
        <f ca="1">IF('SVS UnterhaltsRG'!H61="",0,'SVS UnterhaltsRG'!H61)</f>
        <v>0</v>
      </c>
      <c r="P46" s="95">
        <f t="shared" si="2"/>
        <v>0</v>
      </c>
      <c r="Q46" s="95">
        <f t="shared" ca="1" si="3"/>
        <v>0</v>
      </c>
      <c r="R46" s="95">
        <f t="shared" si="4"/>
        <v>0</v>
      </c>
      <c r="S46" s="95">
        <f t="shared" ca="1" si="5"/>
        <v>0</v>
      </c>
      <c r="T46" s="3" t="str">
        <f t="shared" si="6"/>
        <v>Leistungswert eintragen</v>
      </c>
      <c r="U46" s="3">
        <f t="shared" si="7"/>
        <v>0</v>
      </c>
    </row>
    <row r="47" spans="1:21" ht="15" customHeight="1" x14ac:dyDescent="0.2">
      <c r="A47" s="153">
        <v>26</v>
      </c>
      <c r="B47" s="165" t="s">
        <v>494</v>
      </c>
      <c r="C47" s="166" t="s">
        <v>306</v>
      </c>
      <c r="D47" s="166"/>
      <c r="E47" s="166" t="s">
        <v>496</v>
      </c>
      <c r="F47" s="166" t="s">
        <v>495</v>
      </c>
      <c r="G47" s="167">
        <v>15.86</v>
      </c>
      <c r="H47" s="167"/>
      <c r="I47" s="167"/>
      <c r="J47" s="153" t="s">
        <v>315</v>
      </c>
      <c r="K47" s="167">
        <v>1</v>
      </c>
      <c r="L47" s="95">
        <f>VLOOKUP(K47,Reinigungstage!A10:G31,7,FALSE)</f>
        <v>52.62</v>
      </c>
      <c r="M47" s="95">
        <f t="shared" si="0"/>
        <v>834.55</v>
      </c>
      <c r="N47" s="168">
        <f t="shared" si="1"/>
        <v>0</v>
      </c>
      <c r="O47" s="95">
        <f ca="1">IF('SVS UnterhaltsRG'!H61="",0,'SVS UnterhaltsRG'!H61)</f>
        <v>0</v>
      </c>
      <c r="P47" s="95">
        <f t="shared" si="2"/>
        <v>0</v>
      </c>
      <c r="Q47" s="95">
        <f t="shared" ca="1" si="3"/>
        <v>0</v>
      </c>
      <c r="R47" s="95">
        <f t="shared" si="4"/>
        <v>0</v>
      </c>
      <c r="S47" s="95">
        <f t="shared" ca="1" si="5"/>
        <v>0</v>
      </c>
      <c r="T47" s="3" t="str">
        <f t="shared" si="6"/>
        <v>Leistungswert eintragen</v>
      </c>
      <c r="U47" s="3">
        <f t="shared" si="7"/>
        <v>0</v>
      </c>
    </row>
    <row r="48" spans="1:21" ht="21" x14ac:dyDescent="0.2">
      <c r="A48" s="153">
        <v>27</v>
      </c>
      <c r="B48" s="165"/>
      <c r="C48" s="166" t="s">
        <v>306</v>
      </c>
      <c r="D48" s="166" t="s">
        <v>497</v>
      </c>
      <c r="E48" s="166" t="s">
        <v>288</v>
      </c>
      <c r="F48" s="166" t="s">
        <v>287</v>
      </c>
      <c r="G48" s="167">
        <v>21.46</v>
      </c>
      <c r="H48" s="167"/>
      <c r="I48" s="167"/>
      <c r="J48" s="153" t="s">
        <v>313</v>
      </c>
      <c r="K48" s="167">
        <v>5</v>
      </c>
      <c r="L48" s="95">
        <f>VLOOKUP(K48,Reinigungstage!A10:G31,7,FALSE)</f>
        <v>253.33</v>
      </c>
      <c r="M48" s="95">
        <f t="shared" si="0"/>
        <v>5436.46</v>
      </c>
      <c r="N48" s="168">
        <f t="shared" si="1"/>
        <v>0</v>
      </c>
      <c r="O48" s="95">
        <f ca="1">IF('SVS UnterhaltsRG'!H61="",0,'SVS UnterhaltsRG'!H61)</f>
        <v>0</v>
      </c>
      <c r="P48" s="95">
        <f t="shared" si="2"/>
        <v>0</v>
      </c>
      <c r="Q48" s="95">
        <f t="shared" ca="1" si="3"/>
        <v>0</v>
      </c>
      <c r="R48" s="95">
        <f t="shared" si="4"/>
        <v>0</v>
      </c>
      <c r="S48" s="95">
        <f t="shared" ca="1" si="5"/>
        <v>0</v>
      </c>
      <c r="T48" s="3" t="str">
        <f t="shared" si="6"/>
        <v>Leistungswert eintragen</v>
      </c>
      <c r="U48" s="3">
        <f t="shared" si="7"/>
        <v>0</v>
      </c>
    </row>
    <row r="49" spans="1:21" ht="15" customHeight="1" x14ac:dyDescent="0.2">
      <c r="A49" s="153">
        <v>28</v>
      </c>
      <c r="B49" s="165"/>
      <c r="C49" s="166" t="s">
        <v>306</v>
      </c>
      <c r="D49" s="166"/>
      <c r="E49" s="166" t="s">
        <v>310</v>
      </c>
      <c r="F49" s="166" t="s">
        <v>287</v>
      </c>
      <c r="G49" s="167">
        <v>12.68</v>
      </c>
      <c r="H49" s="167"/>
      <c r="I49" s="167"/>
      <c r="J49" s="153" t="s">
        <v>310</v>
      </c>
      <c r="K49" s="167">
        <v>5</v>
      </c>
      <c r="L49" s="95">
        <f>VLOOKUP(K49,Reinigungstage!A10:G31,7,FALSE)</f>
        <v>253.33</v>
      </c>
      <c r="M49" s="95">
        <f t="shared" si="0"/>
        <v>3212.22</v>
      </c>
      <c r="N49" s="168">
        <f t="shared" si="1"/>
        <v>0</v>
      </c>
      <c r="O49" s="95">
        <f ca="1">IF('SVS UnterhaltsRG'!H61="",0,'SVS UnterhaltsRG'!H61)</f>
        <v>0</v>
      </c>
      <c r="P49" s="95">
        <f t="shared" si="2"/>
        <v>0</v>
      </c>
      <c r="Q49" s="95">
        <f t="shared" ca="1" si="3"/>
        <v>0</v>
      </c>
      <c r="R49" s="95">
        <f t="shared" si="4"/>
        <v>0</v>
      </c>
      <c r="S49" s="95">
        <f t="shared" ca="1" si="5"/>
        <v>0</v>
      </c>
      <c r="T49" s="3" t="str">
        <f t="shared" si="6"/>
        <v>Leistungswert eintragen</v>
      </c>
      <c r="U49" s="3">
        <f t="shared" si="7"/>
        <v>0</v>
      </c>
    </row>
    <row r="50" spans="1:21" ht="15" customHeight="1" x14ac:dyDescent="0.2">
      <c r="A50" s="153">
        <v>29</v>
      </c>
      <c r="B50" s="165" t="s">
        <v>498</v>
      </c>
      <c r="C50" s="166" t="s">
        <v>276</v>
      </c>
      <c r="D50" s="166"/>
      <c r="E50" s="166" t="s">
        <v>375</v>
      </c>
      <c r="F50" s="166" t="s">
        <v>495</v>
      </c>
      <c r="G50" s="167">
        <v>28.18</v>
      </c>
      <c r="H50" s="167"/>
      <c r="I50" s="167">
        <v>1</v>
      </c>
      <c r="J50" s="153" t="s">
        <v>402</v>
      </c>
      <c r="K50" s="167">
        <v>2</v>
      </c>
      <c r="L50" s="95">
        <f>VLOOKUP(K50,Reinigungstage!A10:G31,7,FALSE)</f>
        <v>105.26</v>
      </c>
      <c r="M50" s="95">
        <f t="shared" si="0"/>
        <v>2966.23</v>
      </c>
      <c r="N50" s="168">
        <f t="shared" si="1"/>
        <v>0</v>
      </c>
      <c r="O50" s="95">
        <f ca="1">IF('SVS UnterhaltsRG'!H61="",0,'SVS UnterhaltsRG'!H61)</f>
        <v>0</v>
      </c>
      <c r="P50" s="95">
        <f t="shared" si="2"/>
        <v>0</v>
      </c>
      <c r="Q50" s="95">
        <f t="shared" ca="1" si="3"/>
        <v>0</v>
      </c>
      <c r="R50" s="95">
        <f t="shared" si="4"/>
        <v>0</v>
      </c>
      <c r="S50" s="95">
        <f t="shared" ca="1" si="5"/>
        <v>0</v>
      </c>
      <c r="T50" s="3" t="str">
        <f t="shared" si="6"/>
        <v>Leistungswert eintragen</v>
      </c>
      <c r="U50" s="3">
        <f t="shared" si="7"/>
        <v>0</v>
      </c>
    </row>
    <row r="51" spans="1:21" ht="15" customHeight="1" x14ac:dyDescent="0.2">
      <c r="A51" s="153">
        <v>30</v>
      </c>
      <c r="B51" s="165" t="s">
        <v>498</v>
      </c>
      <c r="C51" s="166" t="s">
        <v>276</v>
      </c>
      <c r="D51" s="166"/>
      <c r="E51" s="166" t="s">
        <v>499</v>
      </c>
      <c r="F51" s="166" t="s">
        <v>495</v>
      </c>
      <c r="G51" s="167">
        <v>17.11</v>
      </c>
      <c r="H51" s="167"/>
      <c r="I51" s="167">
        <v>1</v>
      </c>
      <c r="J51" s="153" t="s">
        <v>402</v>
      </c>
      <c r="K51" s="167">
        <v>2</v>
      </c>
      <c r="L51" s="95">
        <f>VLOOKUP(K51,Reinigungstage!A10:G31,7,FALSE)</f>
        <v>105.26</v>
      </c>
      <c r="M51" s="95">
        <f t="shared" si="0"/>
        <v>1801</v>
      </c>
      <c r="N51" s="168">
        <f t="shared" si="1"/>
        <v>0</v>
      </c>
      <c r="O51" s="95">
        <f ca="1">IF('SVS UnterhaltsRG'!H61="",0,'SVS UnterhaltsRG'!H61)</f>
        <v>0</v>
      </c>
      <c r="P51" s="95">
        <f t="shared" si="2"/>
        <v>0</v>
      </c>
      <c r="Q51" s="95">
        <f t="shared" ca="1" si="3"/>
        <v>0</v>
      </c>
      <c r="R51" s="95">
        <f t="shared" si="4"/>
        <v>0</v>
      </c>
      <c r="S51" s="95">
        <f t="shared" ca="1" si="5"/>
        <v>0</v>
      </c>
      <c r="T51" s="3" t="str">
        <f t="shared" si="6"/>
        <v>Leistungswert eintragen</v>
      </c>
      <c r="U51" s="3">
        <f t="shared" si="7"/>
        <v>0</v>
      </c>
    </row>
    <row r="52" spans="1:21" ht="15" customHeight="1" x14ac:dyDescent="0.2">
      <c r="A52" s="153">
        <v>31</v>
      </c>
      <c r="B52" s="165" t="s">
        <v>498</v>
      </c>
      <c r="C52" s="166" t="s">
        <v>276</v>
      </c>
      <c r="D52" s="166"/>
      <c r="E52" s="166" t="s">
        <v>500</v>
      </c>
      <c r="F52" s="166" t="s">
        <v>495</v>
      </c>
      <c r="G52" s="167">
        <v>27.43</v>
      </c>
      <c r="H52" s="167"/>
      <c r="I52" s="167"/>
      <c r="J52" s="153" t="s">
        <v>402</v>
      </c>
      <c r="K52" s="167">
        <v>2</v>
      </c>
      <c r="L52" s="95">
        <f>VLOOKUP(K52,Reinigungstage!A10:G31,7,FALSE)</f>
        <v>105.26</v>
      </c>
      <c r="M52" s="95">
        <f t="shared" si="0"/>
        <v>2887.28</v>
      </c>
      <c r="N52" s="168">
        <f t="shared" si="1"/>
        <v>0</v>
      </c>
      <c r="O52" s="95">
        <f ca="1">IF('SVS UnterhaltsRG'!H61="",0,'SVS UnterhaltsRG'!H61)</f>
        <v>0</v>
      </c>
      <c r="P52" s="95">
        <f t="shared" si="2"/>
        <v>0</v>
      </c>
      <c r="Q52" s="95">
        <f t="shared" ca="1" si="3"/>
        <v>0</v>
      </c>
      <c r="R52" s="95">
        <f t="shared" si="4"/>
        <v>0</v>
      </c>
      <c r="S52" s="95">
        <f t="shared" ca="1" si="5"/>
        <v>0</v>
      </c>
      <c r="T52" s="3" t="str">
        <f t="shared" si="6"/>
        <v>Leistungswert eintragen</v>
      </c>
      <c r="U52" s="3">
        <f t="shared" si="7"/>
        <v>0</v>
      </c>
    </row>
    <row r="53" spans="1:21" ht="15" customHeight="1" x14ac:dyDescent="0.2">
      <c r="A53" s="153">
        <v>32</v>
      </c>
      <c r="B53" s="165" t="s">
        <v>501</v>
      </c>
      <c r="C53" s="166" t="s">
        <v>276</v>
      </c>
      <c r="D53" s="166"/>
      <c r="E53" s="166" t="s">
        <v>502</v>
      </c>
      <c r="F53" s="166" t="s">
        <v>495</v>
      </c>
      <c r="G53" s="167">
        <v>55.58</v>
      </c>
      <c r="H53" s="167"/>
      <c r="I53" s="167"/>
      <c r="J53" s="153" t="s">
        <v>315</v>
      </c>
      <c r="K53" s="167">
        <v>1</v>
      </c>
      <c r="L53" s="95">
        <f>VLOOKUP(K53,Reinigungstage!A10:G31,7,FALSE)</f>
        <v>52.62</v>
      </c>
      <c r="M53" s="95">
        <f t="shared" si="0"/>
        <v>2924.62</v>
      </c>
      <c r="N53" s="168">
        <f t="shared" si="1"/>
        <v>0</v>
      </c>
      <c r="O53" s="95">
        <f ca="1">IF('SVS UnterhaltsRG'!H61="",0,'SVS UnterhaltsRG'!H61)</f>
        <v>0</v>
      </c>
      <c r="P53" s="95">
        <f t="shared" si="2"/>
        <v>0</v>
      </c>
      <c r="Q53" s="95">
        <f t="shared" ca="1" si="3"/>
        <v>0</v>
      </c>
      <c r="R53" s="95">
        <f t="shared" si="4"/>
        <v>0</v>
      </c>
      <c r="S53" s="95">
        <f t="shared" ca="1" si="5"/>
        <v>0</v>
      </c>
      <c r="T53" s="3" t="str">
        <f t="shared" si="6"/>
        <v>Leistungswert eintragen</v>
      </c>
      <c r="U53" s="3">
        <f t="shared" si="7"/>
        <v>0</v>
      </c>
    </row>
    <row r="54" spans="1:21" ht="15" customHeight="1" x14ac:dyDescent="0.2">
      <c r="A54" s="153">
        <v>33</v>
      </c>
      <c r="B54" s="165"/>
      <c r="C54" s="166" t="s">
        <v>276</v>
      </c>
      <c r="D54" s="166"/>
      <c r="E54" s="166" t="s">
        <v>288</v>
      </c>
      <c r="F54" s="166" t="s">
        <v>495</v>
      </c>
      <c r="G54" s="167">
        <v>27.18</v>
      </c>
      <c r="H54" s="167"/>
      <c r="I54" s="167">
        <v>3</v>
      </c>
      <c r="J54" s="153" t="s">
        <v>313</v>
      </c>
      <c r="K54" s="167">
        <v>5</v>
      </c>
      <c r="L54" s="95">
        <f>VLOOKUP(K54,Reinigungstage!A10:G31,7,FALSE)</f>
        <v>253.33</v>
      </c>
      <c r="M54" s="95">
        <f t="shared" si="0"/>
        <v>6885.51</v>
      </c>
      <c r="N54" s="168">
        <f t="shared" si="1"/>
        <v>0</v>
      </c>
      <c r="O54" s="95">
        <f ca="1">IF('SVS UnterhaltsRG'!H61="",0,'SVS UnterhaltsRG'!H61)</f>
        <v>0</v>
      </c>
      <c r="P54" s="95">
        <f t="shared" si="2"/>
        <v>0</v>
      </c>
      <c r="Q54" s="95">
        <f t="shared" ca="1" si="3"/>
        <v>0</v>
      </c>
      <c r="R54" s="95">
        <f t="shared" si="4"/>
        <v>0</v>
      </c>
      <c r="S54" s="95">
        <f t="shared" ca="1" si="5"/>
        <v>0</v>
      </c>
      <c r="T54" s="3" t="str">
        <f t="shared" si="6"/>
        <v>Leistungswert eintragen</v>
      </c>
      <c r="U54" s="3">
        <f t="shared" si="7"/>
        <v>0</v>
      </c>
    </row>
    <row r="55" spans="1:21" ht="15" customHeight="1" x14ac:dyDescent="0.2">
      <c r="A55" s="153">
        <v>34</v>
      </c>
      <c r="B55" s="165"/>
      <c r="C55" s="166" t="s">
        <v>276</v>
      </c>
      <c r="D55" s="166"/>
      <c r="E55" s="166" t="s">
        <v>283</v>
      </c>
      <c r="F55" s="166" t="s">
        <v>293</v>
      </c>
      <c r="G55" s="167">
        <v>5.49</v>
      </c>
      <c r="H55" s="167"/>
      <c r="I55" s="167">
        <v>1</v>
      </c>
      <c r="J55" s="153" t="s">
        <v>313</v>
      </c>
      <c r="K55" s="167">
        <v>5</v>
      </c>
      <c r="L55" s="95">
        <f>VLOOKUP(K55,Reinigungstage!A10:G31,7,FALSE)</f>
        <v>253.33</v>
      </c>
      <c r="M55" s="95">
        <f t="shared" si="0"/>
        <v>1390.78</v>
      </c>
      <c r="N55" s="168">
        <f t="shared" si="1"/>
        <v>0</v>
      </c>
      <c r="O55" s="95">
        <f ca="1">IF('SVS UnterhaltsRG'!H61="",0,'SVS UnterhaltsRG'!H61)</f>
        <v>0</v>
      </c>
      <c r="P55" s="95">
        <f t="shared" si="2"/>
        <v>0</v>
      </c>
      <c r="Q55" s="95">
        <f t="shared" ca="1" si="3"/>
        <v>0</v>
      </c>
      <c r="R55" s="95">
        <f t="shared" si="4"/>
        <v>0</v>
      </c>
      <c r="S55" s="95">
        <f t="shared" ca="1" si="5"/>
        <v>0</v>
      </c>
      <c r="T55" s="3" t="str">
        <f t="shared" si="6"/>
        <v>Leistungswert eintragen</v>
      </c>
      <c r="U55" s="3">
        <f t="shared" si="7"/>
        <v>0</v>
      </c>
    </row>
    <row r="56" spans="1:21" ht="15" customHeight="1" x14ac:dyDescent="0.2">
      <c r="A56" s="153">
        <v>35</v>
      </c>
      <c r="B56" s="165"/>
      <c r="C56" s="166" t="s">
        <v>276</v>
      </c>
      <c r="D56" s="166"/>
      <c r="E56" s="166" t="s">
        <v>288</v>
      </c>
      <c r="F56" s="166" t="s">
        <v>293</v>
      </c>
      <c r="G56" s="167">
        <v>6.9</v>
      </c>
      <c r="H56" s="167"/>
      <c r="I56" s="167"/>
      <c r="J56" s="153" t="s">
        <v>313</v>
      </c>
      <c r="K56" s="167">
        <v>5</v>
      </c>
      <c r="L56" s="95">
        <f>VLOOKUP(K56,Reinigungstage!A10:G31,7,FALSE)</f>
        <v>253.33</v>
      </c>
      <c r="M56" s="95">
        <f t="shared" si="0"/>
        <v>1747.98</v>
      </c>
      <c r="N56" s="168">
        <f t="shared" si="1"/>
        <v>0</v>
      </c>
      <c r="O56" s="95">
        <f ca="1">IF('SVS UnterhaltsRG'!H61="",0,'SVS UnterhaltsRG'!H61)</f>
        <v>0</v>
      </c>
      <c r="P56" s="95">
        <f t="shared" si="2"/>
        <v>0</v>
      </c>
      <c r="Q56" s="95">
        <f t="shared" ca="1" si="3"/>
        <v>0</v>
      </c>
      <c r="R56" s="95">
        <f t="shared" si="4"/>
        <v>0</v>
      </c>
      <c r="S56" s="95">
        <f t="shared" ca="1" si="5"/>
        <v>0</v>
      </c>
      <c r="T56" s="3" t="str">
        <f t="shared" si="6"/>
        <v>Leistungswert eintragen</v>
      </c>
      <c r="U56" s="3">
        <f t="shared" si="7"/>
        <v>0</v>
      </c>
    </row>
    <row r="57" spans="1:21" ht="15" customHeight="1" x14ac:dyDescent="0.2">
      <c r="A57" s="153">
        <v>36</v>
      </c>
      <c r="B57" s="165" t="s">
        <v>503</v>
      </c>
      <c r="C57" s="166" t="s">
        <v>276</v>
      </c>
      <c r="D57" s="166"/>
      <c r="E57" s="166" t="s">
        <v>504</v>
      </c>
      <c r="F57" s="166" t="s">
        <v>491</v>
      </c>
      <c r="G57" s="167">
        <v>17.18</v>
      </c>
      <c r="H57" s="167"/>
      <c r="I57" s="167"/>
      <c r="J57" s="153" t="s">
        <v>402</v>
      </c>
      <c r="K57" s="167">
        <v>2</v>
      </c>
      <c r="L57" s="95">
        <f>VLOOKUP(K57,Reinigungstage!A10:G31,7,FALSE)</f>
        <v>105.26</v>
      </c>
      <c r="M57" s="95">
        <f t="shared" si="0"/>
        <v>1808.37</v>
      </c>
      <c r="N57" s="168">
        <f t="shared" si="1"/>
        <v>0</v>
      </c>
      <c r="O57" s="95">
        <f ca="1">IF('SVS UnterhaltsRG'!H61="",0,'SVS UnterhaltsRG'!H61)</f>
        <v>0</v>
      </c>
      <c r="P57" s="95">
        <f t="shared" si="2"/>
        <v>0</v>
      </c>
      <c r="Q57" s="95">
        <f t="shared" ca="1" si="3"/>
        <v>0</v>
      </c>
      <c r="R57" s="95">
        <f t="shared" si="4"/>
        <v>0</v>
      </c>
      <c r="S57" s="95">
        <f t="shared" ca="1" si="5"/>
        <v>0</v>
      </c>
      <c r="T57" s="3" t="str">
        <f t="shared" si="6"/>
        <v>Leistungswert eintragen</v>
      </c>
      <c r="U57" s="3">
        <f t="shared" si="7"/>
        <v>0</v>
      </c>
    </row>
    <row r="58" spans="1:21" ht="15" customHeight="1" x14ac:dyDescent="0.2">
      <c r="A58" s="153">
        <v>37</v>
      </c>
      <c r="B58" s="165" t="s">
        <v>505</v>
      </c>
      <c r="C58" s="166" t="s">
        <v>276</v>
      </c>
      <c r="D58" s="166"/>
      <c r="E58" s="166" t="s">
        <v>496</v>
      </c>
      <c r="F58" s="166" t="s">
        <v>330</v>
      </c>
      <c r="G58" s="167">
        <v>14.87</v>
      </c>
      <c r="H58" s="167"/>
      <c r="I58" s="167"/>
      <c r="J58" s="153" t="s">
        <v>315</v>
      </c>
      <c r="K58" s="167">
        <v>1</v>
      </c>
      <c r="L58" s="95">
        <f>VLOOKUP(K58,Reinigungstage!A10:G31,7,FALSE)</f>
        <v>52.62</v>
      </c>
      <c r="M58" s="95">
        <f t="shared" si="0"/>
        <v>782.46</v>
      </c>
      <c r="N58" s="168">
        <f t="shared" si="1"/>
        <v>0</v>
      </c>
      <c r="O58" s="95">
        <f ca="1">IF('SVS UnterhaltsRG'!H61="",0,'SVS UnterhaltsRG'!H61)</f>
        <v>0</v>
      </c>
      <c r="P58" s="95">
        <f t="shared" si="2"/>
        <v>0</v>
      </c>
      <c r="Q58" s="95">
        <f t="shared" ca="1" si="3"/>
        <v>0</v>
      </c>
      <c r="R58" s="95">
        <f t="shared" si="4"/>
        <v>0</v>
      </c>
      <c r="S58" s="95">
        <f t="shared" ca="1" si="5"/>
        <v>0</v>
      </c>
      <c r="T58" s="3" t="str">
        <f t="shared" si="6"/>
        <v>Leistungswert eintragen</v>
      </c>
      <c r="U58" s="3">
        <f t="shared" si="7"/>
        <v>0</v>
      </c>
    </row>
    <row r="59" spans="1:21" ht="15" customHeight="1" x14ac:dyDescent="0.2">
      <c r="A59" s="153">
        <v>38</v>
      </c>
      <c r="B59" s="165" t="s">
        <v>506</v>
      </c>
      <c r="C59" s="166" t="s">
        <v>276</v>
      </c>
      <c r="D59" s="166"/>
      <c r="E59" s="166" t="s">
        <v>339</v>
      </c>
      <c r="F59" s="166" t="s">
        <v>330</v>
      </c>
      <c r="G59" s="167">
        <v>6.8</v>
      </c>
      <c r="H59" s="167"/>
      <c r="I59" s="167"/>
      <c r="J59" s="153" t="s">
        <v>312</v>
      </c>
      <c r="K59" s="153" t="s">
        <v>162</v>
      </c>
      <c r="L59" s="95">
        <f>VLOOKUP(K59,Reinigungstage!A10:G31,7,FALSE)</f>
        <v>12</v>
      </c>
      <c r="M59" s="95">
        <f t="shared" si="0"/>
        <v>81.599999999999994</v>
      </c>
      <c r="N59" s="168">
        <f t="shared" si="1"/>
        <v>0</v>
      </c>
      <c r="O59" s="95">
        <f ca="1">IF('SVS UnterhaltsRG'!H61="",0,'SVS UnterhaltsRG'!H61)</f>
        <v>0</v>
      </c>
      <c r="P59" s="95">
        <f t="shared" si="2"/>
        <v>0</v>
      </c>
      <c r="Q59" s="95">
        <f t="shared" ca="1" si="3"/>
        <v>0</v>
      </c>
      <c r="R59" s="95">
        <f t="shared" si="4"/>
        <v>0</v>
      </c>
      <c r="S59" s="95">
        <f t="shared" ca="1" si="5"/>
        <v>0</v>
      </c>
      <c r="T59" s="3" t="str">
        <f t="shared" si="6"/>
        <v>Leistungswert eintragen</v>
      </c>
      <c r="U59" s="3">
        <f t="shared" si="7"/>
        <v>0</v>
      </c>
    </row>
    <row r="60" spans="1:21" ht="15" customHeight="1" x14ac:dyDescent="0.2">
      <c r="A60" s="153">
        <v>39</v>
      </c>
      <c r="B60" s="165"/>
      <c r="C60" s="166" t="s">
        <v>276</v>
      </c>
      <c r="D60" s="166"/>
      <c r="E60" s="166" t="s">
        <v>288</v>
      </c>
      <c r="F60" s="166" t="s">
        <v>491</v>
      </c>
      <c r="G60" s="167">
        <v>8.24</v>
      </c>
      <c r="H60" s="167"/>
      <c r="I60" s="167"/>
      <c r="J60" s="153" t="s">
        <v>313</v>
      </c>
      <c r="K60" s="167">
        <v>5</v>
      </c>
      <c r="L60" s="95">
        <f>VLOOKUP(K60,Reinigungstage!A10:G31,7,FALSE)</f>
        <v>253.33</v>
      </c>
      <c r="M60" s="95">
        <f t="shared" si="0"/>
        <v>2087.44</v>
      </c>
      <c r="N60" s="168">
        <f t="shared" si="1"/>
        <v>0</v>
      </c>
      <c r="O60" s="95">
        <f ca="1">IF('SVS UnterhaltsRG'!H61="",0,'SVS UnterhaltsRG'!H61)</f>
        <v>0</v>
      </c>
      <c r="P60" s="95">
        <f t="shared" si="2"/>
        <v>0</v>
      </c>
      <c r="Q60" s="95">
        <f t="shared" ca="1" si="3"/>
        <v>0</v>
      </c>
      <c r="R60" s="95">
        <f t="shared" si="4"/>
        <v>0</v>
      </c>
      <c r="S60" s="95">
        <f t="shared" ca="1" si="5"/>
        <v>0</v>
      </c>
      <c r="T60" s="3" t="str">
        <f t="shared" si="6"/>
        <v>Leistungswert eintragen</v>
      </c>
      <c r="U60" s="3">
        <f t="shared" si="7"/>
        <v>0</v>
      </c>
    </row>
    <row r="61" spans="1:21" ht="15" customHeight="1" x14ac:dyDescent="0.2">
      <c r="A61" s="153">
        <v>40</v>
      </c>
      <c r="B61" s="165"/>
      <c r="C61" s="166" t="s">
        <v>276</v>
      </c>
      <c r="D61" s="166" t="s">
        <v>507</v>
      </c>
      <c r="E61" s="166" t="s">
        <v>283</v>
      </c>
      <c r="F61" s="166" t="s">
        <v>293</v>
      </c>
      <c r="G61" s="167">
        <v>2.5299999999999998</v>
      </c>
      <c r="H61" s="167"/>
      <c r="I61" s="167"/>
      <c r="J61" s="153" t="s">
        <v>313</v>
      </c>
      <c r="K61" s="167">
        <v>5</v>
      </c>
      <c r="L61" s="95">
        <f>VLOOKUP(K61,Reinigungstage!A10:G31,7,FALSE)</f>
        <v>253.33</v>
      </c>
      <c r="M61" s="95">
        <f t="shared" si="0"/>
        <v>640.91999999999996</v>
      </c>
      <c r="N61" s="168">
        <f t="shared" si="1"/>
        <v>0</v>
      </c>
      <c r="O61" s="95">
        <f ca="1">IF('SVS UnterhaltsRG'!H61="",0,'SVS UnterhaltsRG'!H61)</f>
        <v>0</v>
      </c>
      <c r="P61" s="95">
        <f t="shared" si="2"/>
        <v>0</v>
      </c>
      <c r="Q61" s="95">
        <f t="shared" ca="1" si="3"/>
        <v>0</v>
      </c>
      <c r="R61" s="95">
        <f t="shared" si="4"/>
        <v>0</v>
      </c>
      <c r="S61" s="95">
        <f t="shared" ca="1" si="5"/>
        <v>0</v>
      </c>
      <c r="T61" s="3" t="str">
        <f t="shared" si="6"/>
        <v>Leistungswert eintragen</v>
      </c>
      <c r="U61" s="3">
        <f t="shared" si="7"/>
        <v>0</v>
      </c>
    </row>
    <row r="62" spans="1:21" ht="15" customHeight="1" x14ac:dyDescent="0.2">
      <c r="A62" s="153">
        <v>41</v>
      </c>
      <c r="B62" s="165"/>
      <c r="C62" s="166" t="s">
        <v>276</v>
      </c>
      <c r="D62" s="166"/>
      <c r="E62" s="166" t="s">
        <v>310</v>
      </c>
      <c r="F62" s="166" t="s">
        <v>293</v>
      </c>
      <c r="G62" s="167">
        <v>4.1399999999999997</v>
      </c>
      <c r="H62" s="167"/>
      <c r="I62" s="167"/>
      <c r="J62" s="153" t="s">
        <v>310</v>
      </c>
      <c r="K62" s="167">
        <v>5</v>
      </c>
      <c r="L62" s="95">
        <f>VLOOKUP(K62,Reinigungstage!A10:G31,7,FALSE)</f>
        <v>253.33</v>
      </c>
      <c r="M62" s="95">
        <f t="shared" si="0"/>
        <v>1048.79</v>
      </c>
      <c r="N62" s="168">
        <f t="shared" si="1"/>
        <v>0</v>
      </c>
      <c r="O62" s="95">
        <f ca="1">IF('SVS UnterhaltsRG'!H61="",0,'SVS UnterhaltsRG'!H61)</f>
        <v>0</v>
      </c>
      <c r="P62" s="95">
        <f t="shared" si="2"/>
        <v>0</v>
      </c>
      <c r="Q62" s="95">
        <f t="shared" ca="1" si="3"/>
        <v>0</v>
      </c>
      <c r="R62" s="95">
        <f t="shared" si="4"/>
        <v>0</v>
      </c>
      <c r="S62" s="95">
        <f t="shared" ca="1" si="5"/>
        <v>0</v>
      </c>
      <c r="T62" s="3" t="str">
        <f t="shared" si="6"/>
        <v>Leistungswert eintragen</v>
      </c>
      <c r="U62" s="3">
        <f t="shared" si="7"/>
        <v>0</v>
      </c>
    </row>
    <row r="63" spans="1:21" ht="15" customHeight="1" x14ac:dyDescent="0.2">
      <c r="A63" s="153">
        <v>42</v>
      </c>
      <c r="B63" s="165"/>
      <c r="C63" s="166" t="s">
        <v>377</v>
      </c>
      <c r="D63" s="166"/>
      <c r="E63" s="166" t="s">
        <v>288</v>
      </c>
      <c r="F63" s="166" t="s">
        <v>293</v>
      </c>
      <c r="G63" s="167">
        <v>3.88</v>
      </c>
      <c r="H63" s="167"/>
      <c r="I63" s="167"/>
      <c r="J63" s="153" t="s">
        <v>313</v>
      </c>
      <c r="K63" s="167">
        <v>5</v>
      </c>
      <c r="L63" s="95">
        <f>VLOOKUP(K63,Reinigungstage!A10:G31,7,FALSE)</f>
        <v>253.33</v>
      </c>
      <c r="M63" s="95">
        <f t="shared" si="0"/>
        <v>982.92</v>
      </c>
      <c r="N63" s="168">
        <f t="shared" si="1"/>
        <v>0</v>
      </c>
      <c r="O63" s="95">
        <f ca="1">IF('SVS UnterhaltsRG'!H61="",0,'SVS UnterhaltsRG'!H61)</f>
        <v>0</v>
      </c>
      <c r="P63" s="95">
        <f t="shared" si="2"/>
        <v>0</v>
      </c>
      <c r="Q63" s="95">
        <f t="shared" ca="1" si="3"/>
        <v>0</v>
      </c>
      <c r="R63" s="95">
        <f t="shared" si="4"/>
        <v>0</v>
      </c>
      <c r="S63" s="95">
        <f t="shared" ca="1" si="5"/>
        <v>0</v>
      </c>
      <c r="T63" s="3" t="str">
        <f t="shared" si="6"/>
        <v>Leistungswert eintragen</v>
      </c>
      <c r="U63" s="3">
        <f t="shared" si="7"/>
        <v>0</v>
      </c>
    </row>
    <row r="64" spans="1:21" ht="15" customHeight="1" x14ac:dyDescent="0.2">
      <c r="A64" s="153">
        <v>43</v>
      </c>
      <c r="B64" s="165"/>
      <c r="C64" s="166" t="s">
        <v>377</v>
      </c>
      <c r="D64" s="166"/>
      <c r="E64" s="166" t="s">
        <v>288</v>
      </c>
      <c r="F64" s="166" t="s">
        <v>293</v>
      </c>
      <c r="G64" s="167">
        <v>8.5</v>
      </c>
      <c r="H64" s="167"/>
      <c r="I64" s="167"/>
      <c r="J64" s="153" t="s">
        <v>313</v>
      </c>
      <c r="K64" s="167">
        <v>5</v>
      </c>
      <c r="L64" s="95">
        <f>VLOOKUP(K64,Reinigungstage!A10:G31,7,FALSE)</f>
        <v>253.33</v>
      </c>
      <c r="M64" s="95">
        <f t="shared" si="0"/>
        <v>2153.31</v>
      </c>
      <c r="N64" s="168">
        <f t="shared" si="1"/>
        <v>0</v>
      </c>
      <c r="O64" s="95">
        <f ca="1">IF('SVS UnterhaltsRG'!H61="",0,'SVS UnterhaltsRG'!H61)</f>
        <v>0</v>
      </c>
      <c r="P64" s="95">
        <f t="shared" si="2"/>
        <v>0</v>
      </c>
      <c r="Q64" s="95">
        <f t="shared" ca="1" si="3"/>
        <v>0</v>
      </c>
      <c r="R64" s="95">
        <f t="shared" si="4"/>
        <v>0</v>
      </c>
      <c r="S64" s="95">
        <f t="shared" ca="1" si="5"/>
        <v>0</v>
      </c>
      <c r="T64" s="3" t="str">
        <f t="shared" si="6"/>
        <v>Leistungswert eintragen</v>
      </c>
      <c r="U64" s="3">
        <f t="shared" si="7"/>
        <v>0</v>
      </c>
    </row>
    <row r="65" spans="1:21" ht="15" customHeight="1" x14ac:dyDescent="0.2">
      <c r="A65" s="153">
        <v>44</v>
      </c>
      <c r="B65" s="165"/>
      <c r="C65" s="166" t="s">
        <v>377</v>
      </c>
      <c r="D65" s="166"/>
      <c r="E65" s="166" t="s">
        <v>295</v>
      </c>
      <c r="F65" s="166" t="s">
        <v>293</v>
      </c>
      <c r="G65" s="167">
        <v>6.14</v>
      </c>
      <c r="H65" s="167"/>
      <c r="I65" s="167"/>
      <c r="J65" s="153" t="s">
        <v>314</v>
      </c>
      <c r="K65" s="167">
        <v>5</v>
      </c>
      <c r="L65" s="95">
        <f>VLOOKUP(K65,Reinigungstage!A10:G31,7,FALSE)</f>
        <v>253.33</v>
      </c>
      <c r="M65" s="95">
        <f t="shared" si="0"/>
        <v>1555.45</v>
      </c>
      <c r="N65" s="168">
        <f t="shared" si="1"/>
        <v>0</v>
      </c>
      <c r="O65" s="95">
        <f ca="1">IF('SVS UnterhaltsRG'!H61="",0,'SVS UnterhaltsRG'!H61)</f>
        <v>0</v>
      </c>
      <c r="P65" s="95">
        <f t="shared" si="2"/>
        <v>0</v>
      </c>
      <c r="Q65" s="95">
        <f t="shared" ca="1" si="3"/>
        <v>0</v>
      </c>
      <c r="R65" s="95">
        <f t="shared" si="4"/>
        <v>0</v>
      </c>
      <c r="S65" s="95">
        <f t="shared" ca="1" si="5"/>
        <v>0</v>
      </c>
      <c r="T65" s="3" t="str">
        <f t="shared" si="6"/>
        <v>Leistungswert eintragen</v>
      </c>
      <c r="U65" s="3">
        <f t="shared" si="7"/>
        <v>0</v>
      </c>
    </row>
    <row r="66" spans="1:21" ht="15" customHeight="1" x14ac:dyDescent="0.2">
      <c r="A66" s="153">
        <v>45</v>
      </c>
      <c r="B66" s="165"/>
      <c r="C66" s="166"/>
      <c r="D66" s="166" t="s">
        <v>508</v>
      </c>
      <c r="E66" s="166" t="s">
        <v>381</v>
      </c>
      <c r="F66" s="166" t="s">
        <v>293</v>
      </c>
      <c r="G66" s="167">
        <v>1.78</v>
      </c>
      <c r="H66" s="167"/>
      <c r="I66" s="167"/>
      <c r="J66" s="153" t="s">
        <v>314</v>
      </c>
      <c r="K66" s="167">
        <v>5</v>
      </c>
      <c r="L66" s="95">
        <f>VLOOKUP(K66,Reinigungstage!A10:G31,7,FALSE)</f>
        <v>253.33</v>
      </c>
      <c r="M66" s="95">
        <f t="shared" si="0"/>
        <v>450.93</v>
      </c>
      <c r="N66" s="168">
        <f t="shared" si="1"/>
        <v>0</v>
      </c>
      <c r="O66" s="95">
        <f ca="1">IF('SVS UnterhaltsRG'!H61="",0,'SVS UnterhaltsRG'!H61)</f>
        <v>0</v>
      </c>
      <c r="P66" s="95">
        <f t="shared" si="2"/>
        <v>0</v>
      </c>
      <c r="Q66" s="95">
        <f t="shared" ca="1" si="3"/>
        <v>0</v>
      </c>
      <c r="R66" s="95">
        <f t="shared" si="4"/>
        <v>0</v>
      </c>
      <c r="S66" s="95">
        <f t="shared" ca="1" si="5"/>
        <v>0</v>
      </c>
      <c r="T66" s="3" t="str">
        <f t="shared" si="6"/>
        <v>Leistungswert eintragen</v>
      </c>
      <c r="U66" s="3">
        <f t="shared" si="7"/>
        <v>0</v>
      </c>
    </row>
  </sheetData>
  <sheetProtection algorithmName="SHA-512" hashValue="EbE4TH8MWq7yO1nBweprS7QypYAu+SJ9Gt0Sq2DgX+ULQlkQd+RLGveiCV3mPnyupxBMufWA5QP6oxs/WmzTjQ==" saltValue="LS2mUmETd23ZD346dx+QYg==" spinCount="100000" sheet="1" objects="1" scenarios="1"/>
  <sortState xmlns:xlrd2="http://schemas.microsoft.com/office/spreadsheetml/2017/richdata2" ref="U4:U10">
    <sortCondition ref="U4"/>
  </sortState>
  <mergeCells count="16">
    <mergeCell ref="B13:E13"/>
    <mergeCell ref="B4:E5"/>
    <mergeCell ref="B6:E6"/>
    <mergeCell ref="B7:E7"/>
    <mergeCell ref="B8:E8"/>
    <mergeCell ref="B9:E9"/>
    <mergeCell ref="B10:E10"/>
    <mergeCell ref="B11:E11"/>
    <mergeCell ref="B12:E12"/>
    <mergeCell ref="N2:Q5"/>
    <mergeCell ref="A4:A5"/>
    <mergeCell ref="A2:E2"/>
    <mergeCell ref="G2:G3"/>
    <mergeCell ref="H2:H3"/>
    <mergeCell ref="I2:I3"/>
    <mergeCell ref="J2:J3"/>
  </mergeCells>
  <conditionalFormatting sqref="T22:T66">
    <cfRule type="containsText" dxfId="116" priority="1" stopIfTrue="1" operator="containsText" text="SVS prüfen">
      <formula>NOT(ISERROR(SEARCH("SVS prüfen",T22)))</formula>
    </cfRule>
    <cfRule type="containsText" dxfId="115" priority="2" stopIfTrue="1" operator="containsText" text="Leistungswert eintragen">
      <formula>NOT(ISERROR(SEARCH("Leistungswert eintragen",T22)))</formula>
    </cfRule>
  </conditionalFormatting>
  <hyperlinks>
    <hyperlink ref="M1" location="Inhaltsverzeichnis!A1" display="Zurück zum Inhaltsverzeichnis" xr:uid="{EEBBFC8A-10D3-4A6D-8A60-97F2A4A1155B}"/>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&amp;RKal Unter Rathaus&amp;LStadt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sizeWithCells="1">
                  <from>
                    <xdr:col>12</xdr:col>
                    <xdr:colOff>19050</xdr:colOff>
                    <xdr:row>1</xdr:row>
                    <xdr:rowOff>38100</xdr:rowOff>
                  </from>
                  <to>
                    <xdr:col>12</xdr:col>
                    <xdr:colOff>809625</xdr:colOff>
                    <xdr:row>2</xdr:row>
                    <xdr:rowOff>19050</xdr:rowOff>
                  </to>
                </anchor>
              </controlPr>
            </control>
          </mc:Choice>
        </mc:AlternateContent>
        <mc:AlternateContent xmlns:mc="http://schemas.openxmlformats.org/markup-compatibility/2006">
          <mc:Choice Requires="x14">
            <control shapeId="94210" r:id="rId5" name="Check Box 2">
              <controlPr defaultSize="0" autoFill="0" autoLine="0" autoPict="0" altText="Hinweis 2">
                <anchor moveWithCells="1" sizeWithCells="1">
                  <from>
                    <xdr:col>12</xdr:col>
                    <xdr:colOff>19050</xdr:colOff>
                    <xdr:row>2</xdr:row>
                    <xdr:rowOff>19050</xdr:rowOff>
                  </from>
                  <to>
                    <xdr:col>12</xdr:col>
                    <xdr:colOff>809625</xdr:colOff>
                    <xdr:row>2</xdr:row>
                    <xdr:rowOff>266700</xdr:rowOff>
                  </to>
                </anchor>
              </controlPr>
            </control>
          </mc:Choice>
        </mc:AlternateContent>
        <mc:AlternateContent xmlns:mc="http://schemas.openxmlformats.org/markup-compatibility/2006">
          <mc:Choice Requires="x14">
            <control shapeId="94211" r:id="rId6" name="Check Box 3">
              <controlPr defaultSize="0" autoFill="0" autoLine="0" autoPict="0" altText="Hinweis 3">
                <anchor moveWithCells="1" sizeWithCells="1">
                  <from>
                    <xdr:col>12</xdr:col>
                    <xdr:colOff>19050</xdr:colOff>
                    <xdr:row>3</xdr:row>
                    <xdr:rowOff>9525</xdr:rowOff>
                  </from>
                  <to>
                    <xdr:col>12</xdr:col>
                    <xdr:colOff>809625</xdr:colOff>
                    <xdr:row>4</xdr:row>
                    <xdr:rowOff>57150</xdr:rowOff>
                  </to>
                </anchor>
              </controlPr>
            </control>
          </mc:Choice>
        </mc:AlternateContent>
        <mc:AlternateContent xmlns:mc="http://schemas.openxmlformats.org/markup-compatibility/2006">
          <mc:Choice Requires="x14">
            <control shapeId="94212" r:id="rId7" name="Check Box 4">
              <controlPr defaultSize="0" autoFill="0" autoLine="0" autoPict="0" altText="Hinweis 3">
                <anchor moveWithCells="1" sizeWithCells="1">
                  <from>
                    <xdr:col>12</xdr:col>
                    <xdr:colOff>19050</xdr:colOff>
                    <xdr:row>4</xdr:row>
                    <xdr:rowOff>66675</xdr:rowOff>
                  </from>
                  <to>
                    <xdr:col>12</xdr:col>
                    <xdr:colOff>809625</xdr:colOff>
                    <xdr:row>5</xdr:row>
                    <xdr:rowOff>123825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BD32A-8B9E-4CC5-93B1-14CD5BC17512}">
  <sheetPr codeName="Tabelle36">
    <tabColor indexed="40"/>
  </sheetPr>
  <dimension ref="A1:U48"/>
  <sheetViews>
    <sheetView showGridLines="0" zoomScaleNormal="100" workbookViewId="0">
      <pane ySplit="21" topLeftCell="A22" activePane="bottomLeft" state="frozen"/>
      <selection pane="bottomLeft"/>
    </sheetView>
  </sheetViews>
  <sheetFormatPr baseColWidth="10" defaultColWidth="0" defaultRowHeight="15" customHeight="1" x14ac:dyDescent="0.2"/>
  <cols>
    <col min="1" max="1" width="11.7109375" style="3" customWidth="1"/>
    <col min="2" max="2" width="7.7109375" style="3" customWidth="1"/>
    <col min="3" max="3" width="5.7109375" style="3" customWidth="1"/>
    <col min="4" max="4" width="8.28515625" style="3" customWidth="1"/>
    <col min="5" max="5" width="21.7109375" style="3" customWidth="1"/>
    <col min="6" max="6" width="13.5703125" style="3" bestFit="1" customWidth="1"/>
    <col min="7" max="7" width="10.7109375" style="3" customWidth="1"/>
    <col min="8" max="8" width="9.7109375" style="3" customWidth="1"/>
    <col min="9" max="9" width="11.7109375" style="3" customWidth="1"/>
    <col min="10" max="10" width="10.5703125" style="3" bestFit="1" customWidth="1"/>
    <col min="11" max="11" width="7.85546875" style="3" customWidth="1"/>
    <col min="12" max="12" width="8.7109375" style="3" customWidth="1"/>
    <col min="13" max="13" width="12.140625" style="3" customWidth="1"/>
    <col min="14" max="14" width="9.42578125" style="3" customWidth="1"/>
    <col min="15" max="15" width="8.42578125" style="3" customWidth="1"/>
    <col min="16" max="17" width="11.42578125" style="3" customWidth="1"/>
    <col min="18" max="19" width="11.28515625" style="3" customWidth="1"/>
    <col min="20" max="20" width="22.28515625" style="3" customWidth="1"/>
    <col min="21" max="21" width="0" style="3" hidden="1" customWidth="1"/>
    <col min="22" max="16384" width="11.42578125" style="3" hidden="1"/>
  </cols>
  <sheetData>
    <row r="1" spans="1:21" ht="15" customHeight="1" x14ac:dyDescent="0.2">
      <c r="M1" s="5" t="s">
        <v>100</v>
      </c>
    </row>
    <row r="2" spans="1:21" ht="21" customHeight="1" x14ac:dyDescent="0.2">
      <c r="A2" s="217" t="s">
        <v>177</v>
      </c>
      <c r="B2" s="218"/>
      <c r="C2" s="218"/>
      <c r="D2" s="218" t="b">
        <v>0</v>
      </c>
      <c r="E2" s="219"/>
      <c r="G2" s="220" t="s">
        <v>190</v>
      </c>
      <c r="H2" s="220" t="s">
        <v>182</v>
      </c>
      <c r="I2" s="220" t="s">
        <v>183</v>
      </c>
      <c r="J2" s="220" t="s">
        <v>202</v>
      </c>
      <c r="M2" s="23" t="b">
        <v>0</v>
      </c>
      <c r="N2" s="192" t="str">
        <f>IF(M2=TRUE,"Bitte tragen Sie Ihre Leistungswerte in die gelben Zellen direkt unter der Zelle Leistungswerte (m²/h) ein. Die Leistungswerte werden automatisch in die untere Kalkulation übernommen. Die linke Tabelle ist lediglich eine Ausfüllhilfe.",IF(M3=TRUE,"Wenn eine Jahresreinigungsfläche für eine Reinigungsgruppe mit 0 angegeben ist, brauchen Sie den Leistungswert nicht auszufüllen. Es schadet aber nichts, wenn Sie es trotzdem tun.",IF(M4=TRUE,"Sie können in der Kalkulationstabelle (unten) in jedem einzelnen Raum die Leistungswerte (gelbe Zellen) beliebig oft individuell anpassen. Mit dem individuellen Überschreiben wird die Verknüpfung zu den Leistungswerten in der obigen Tabelle aufgehoben.",IF( M5=TRUE,"Die rot markierten Informationen sind auch lediglich eine Unterstützung. Sie erscheinen, wenn gelbe Zellen in dieser Tabelle oder in den Stundenverrechnungssätzen (SVS) nicht ausgefüllt sind. Wenn keine rote Schrift mehr da ist, ist alles vollständig.",""))))</f>
        <v/>
      </c>
      <c r="O2" s="192"/>
      <c r="P2" s="192"/>
      <c r="Q2" s="192"/>
    </row>
    <row r="3" spans="1:21" ht="21" customHeight="1" x14ac:dyDescent="0.2">
      <c r="A3" s="154" t="s">
        <v>178</v>
      </c>
      <c r="B3" s="155"/>
      <c r="C3" s="155"/>
      <c r="D3" s="155"/>
      <c r="E3" s="156"/>
      <c r="G3" s="221"/>
      <c r="H3" s="221" t="b">
        <v>0</v>
      </c>
      <c r="I3" s="221"/>
      <c r="J3" s="221"/>
      <c r="M3" s="23" t="b">
        <v>0</v>
      </c>
      <c r="N3" s="192"/>
      <c r="O3" s="192"/>
      <c r="P3" s="192"/>
      <c r="Q3" s="192"/>
    </row>
    <row r="4" spans="1:21" ht="15" customHeight="1" x14ac:dyDescent="0.2">
      <c r="A4" s="215" t="s">
        <v>91</v>
      </c>
      <c r="B4" s="225" t="str">
        <f>IF(Inhaltsverzeichnis!C3="","",Inhaltsverzeichnis!C3)</f>
        <v/>
      </c>
      <c r="C4" s="226"/>
      <c r="D4" s="226"/>
      <c r="E4" s="227"/>
      <c r="G4" s="153" t="s">
        <v>402</v>
      </c>
      <c r="H4" s="157"/>
      <c r="I4" s="158">
        <f ca="1">SUMIF('Kal Unter Schloss Ost'!J22:M48,$G$4,'Kal Unter Schloss Ost'!M22:M48)</f>
        <v>384.13</v>
      </c>
      <c r="J4" s="118">
        <f>COUNTIFS('Kal Unter Schloss Ost'!J22:M48,$G$4)</f>
        <v>1</v>
      </c>
      <c r="M4" s="23" t="b">
        <v>0</v>
      </c>
      <c r="N4" s="192"/>
      <c r="O4" s="192"/>
      <c r="P4" s="192"/>
      <c r="Q4" s="192"/>
      <c r="U4" s="153" t="s">
        <v>402</v>
      </c>
    </row>
    <row r="5" spans="1:21" ht="15" customHeight="1" x14ac:dyDescent="0.2">
      <c r="A5" s="216"/>
      <c r="B5" s="228"/>
      <c r="C5" s="229"/>
      <c r="D5" s="229"/>
      <c r="E5" s="230"/>
      <c r="G5" s="153" t="s">
        <v>315</v>
      </c>
      <c r="H5" s="157"/>
      <c r="I5" s="158">
        <f ca="1">SUMIF('Kal Unter Schloss Ost'!J22:M48,$G$5,'Kal Unter Schloss Ost'!M22:M48)</f>
        <v>25199.66</v>
      </c>
      <c r="J5" s="118">
        <f>COUNTIFS('Kal Unter Schloss Ost'!J22:M48,$G$5)</f>
        <v>12</v>
      </c>
      <c r="M5" s="23" t="b">
        <v>0</v>
      </c>
      <c r="N5" s="192"/>
      <c r="O5" s="192"/>
      <c r="P5" s="192"/>
      <c r="Q5" s="192"/>
      <c r="U5" s="153" t="s">
        <v>315</v>
      </c>
    </row>
    <row r="6" spans="1:21" ht="15" customHeight="1" x14ac:dyDescent="0.2">
      <c r="A6" s="159" t="s">
        <v>200</v>
      </c>
      <c r="B6" s="231" t="s">
        <v>245</v>
      </c>
      <c r="C6" s="232"/>
      <c r="D6" s="232"/>
      <c r="E6" s="233"/>
      <c r="G6" s="153" t="s">
        <v>314</v>
      </c>
      <c r="H6" s="157"/>
      <c r="I6" s="158">
        <f ca="1">SUMIF('Kal Unter Schloss Ost'!J22:M48,$G$6,'Kal Unter Schloss Ost'!M22:M48)</f>
        <v>709.32</v>
      </c>
      <c r="J6" s="118">
        <f>COUNTIFS('Kal Unter Schloss Ost'!J22:M48,$G$6)</f>
        <v>2</v>
      </c>
      <c r="U6" s="153" t="s">
        <v>314</v>
      </c>
    </row>
    <row r="7" spans="1:21" ht="15" customHeight="1" x14ac:dyDescent="0.2">
      <c r="A7" s="160" t="s">
        <v>198</v>
      </c>
      <c r="B7" s="234" t="s">
        <v>262</v>
      </c>
      <c r="C7" s="232"/>
      <c r="D7" s="232"/>
      <c r="E7" s="233"/>
      <c r="G7" s="153" t="s">
        <v>312</v>
      </c>
      <c r="H7" s="157"/>
      <c r="I7" s="158">
        <f ca="1">SUMIF('Kal Unter Schloss Ost'!J22:M48,$G$7,'Kal Unter Schloss Ost'!M22:M48)</f>
        <v>282.60000000000002</v>
      </c>
      <c r="J7" s="118">
        <f>COUNTIFS('Kal Unter Schloss Ost'!J22:M48,$G$7)</f>
        <v>1</v>
      </c>
      <c r="U7" s="153" t="s">
        <v>312</v>
      </c>
    </row>
    <row r="8" spans="1:21" ht="15" customHeight="1" x14ac:dyDescent="0.2">
      <c r="A8" s="160" t="s">
        <v>199</v>
      </c>
      <c r="B8" s="231" t="s">
        <v>263</v>
      </c>
      <c r="C8" s="232"/>
      <c r="D8" s="232"/>
      <c r="E8" s="233"/>
      <c r="G8" s="153" t="s">
        <v>310</v>
      </c>
      <c r="H8" s="157"/>
      <c r="I8" s="158">
        <f ca="1">SUMIF('Kal Unter Schloss Ost'!J22:M48,$G$8,'Kal Unter Schloss Ost'!M22:M48)</f>
        <v>1497.04</v>
      </c>
      <c r="J8" s="118">
        <f>COUNTIFS('Kal Unter Schloss Ost'!J22:M48,$G$8)</f>
        <v>5</v>
      </c>
      <c r="U8" s="153" t="s">
        <v>310</v>
      </c>
    </row>
    <row r="9" spans="1:21" ht="15" customHeight="1" x14ac:dyDescent="0.2">
      <c r="A9" s="159" t="s">
        <v>197</v>
      </c>
      <c r="B9" s="235" t="s">
        <v>261</v>
      </c>
      <c r="C9" s="232"/>
      <c r="D9" s="232"/>
      <c r="E9" s="233"/>
      <c r="G9" s="153" t="s">
        <v>313</v>
      </c>
      <c r="H9" s="157"/>
      <c r="I9" s="158">
        <f ca="1">SUMIF('Kal Unter Schloss Ost'!J22:M48,$G$9,'Kal Unter Schloss Ost'!M22:M48)</f>
        <v>3347.68</v>
      </c>
      <c r="J9" s="118">
        <f>COUNTIFS('Kal Unter Schloss Ost'!J22:M48,$G$9)</f>
        <v>5</v>
      </c>
      <c r="U9" s="153" t="s">
        <v>313</v>
      </c>
    </row>
    <row r="10" spans="1:21" ht="15" customHeight="1" x14ac:dyDescent="0.2">
      <c r="A10" s="160" t="s">
        <v>179</v>
      </c>
      <c r="B10" s="231" t="s">
        <v>258</v>
      </c>
      <c r="C10" s="232"/>
      <c r="D10" s="232"/>
      <c r="E10" s="233"/>
      <c r="G10" s="153" t="s">
        <v>404</v>
      </c>
      <c r="H10" s="157"/>
      <c r="I10" s="158">
        <f ca="1">SUMIF('Kal Unter Schloss Ost'!J22:M48,$G$10,'Kal Unter Schloss Ost'!M22:M48)</f>
        <v>762.99</v>
      </c>
      <c r="J10" s="118">
        <f>COUNTIFS('Kal Unter Schloss Ost'!J22:M48,$G$10)</f>
        <v>1</v>
      </c>
      <c r="U10" s="153" t="s">
        <v>404</v>
      </c>
    </row>
    <row r="11" spans="1:21" ht="15" customHeight="1" x14ac:dyDescent="0.2">
      <c r="A11" s="160" t="s">
        <v>180</v>
      </c>
      <c r="B11" s="236" t="s">
        <v>248</v>
      </c>
      <c r="C11" s="232"/>
      <c r="D11" s="232"/>
      <c r="E11" s="233"/>
    </row>
    <row r="12" spans="1:21" ht="15" customHeight="1" x14ac:dyDescent="0.2">
      <c r="A12" s="160" t="s">
        <v>181</v>
      </c>
      <c r="B12" s="231" t="s">
        <v>249</v>
      </c>
      <c r="C12" s="232"/>
      <c r="D12" s="232"/>
      <c r="E12" s="233"/>
    </row>
    <row r="13" spans="1:21" ht="15" customHeight="1" x14ac:dyDescent="0.2">
      <c r="A13" s="160" t="s">
        <v>184</v>
      </c>
      <c r="B13" s="222" t="str">
        <f>HYPERLINK("http://maps.google.de/maps?hl=de&amp;bav=on.2,or.r_qf.&amp;bvm=bv.44770516,d.Yms&amp;biw=1395&amp;bih=916&amp;um=1&amp;ie=UTF-8&amp;q="&amp;B7&amp;"+"&amp;B8&amp;"+"&amp;B10&amp;"+"&amp;B11&amp;"+"&amp;B12&amp;"","In Google-Maps anzeigen (wenn Internet verfügbar)")</f>
        <v>In Google-Maps anzeigen (wenn Internet verfügbar)</v>
      </c>
      <c r="C13" s="223"/>
      <c r="D13" s="223"/>
      <c r="E13" s="224"/>
    </row>
    <row r="14" spans="1:21" ht="15" customHeight="1" x14ac:dyDescent="0.2">
      <c r="T14" s="161">
        <f>IF(COUNTA($T$22:$T$48)-COUNTBLANK($T$22:$T$48)=0,"",COUNTA($T$22:$T$48)-COUNTBLANK($T$22:$T$48))</f>
        <v>27</v>
      </c>
    </row>
    <row r="15" spans="1:21" ht="15" hidden="1" customHeight="1" x14ac:dyDescent="0.2"/>
    <row r="16" spans="1:21" ht="15" hidden="1" customHeight="1" x14ac:dyDescent="0.2"/>
    <row r="17" spans="1:21" ht="15" hidden="1" customHeight="1" x14ac:dyDescent="0.2"/>
    <row r="18" spans="1:21" ht="15" hidden="1" customHeight="1" x14ac:dyDescent="0.2"/>
    <row r="19" spans="1:21" ht="15" hidden="1" customHeight="1" x14ac:dyDescent="0.2"/>
    <row r="20" spans="1:21" ht="45" customHeight="1" x14ac:dyDescent="0.2">
      <c r="A20" s="1" t="s">
        <v>92</v>
      </c>
      <c r="B20" s="1" t="s">
        <v>97</v>
      </c>
      <c r="C20" s="1" t="s">
        <v>93</v>
      </c>
      <c r="D20" s="1" t="s">
        <v>94</v>
      </c>
      <c r="E20" s="1" t="s">
        <v>98</v>
      </c>
      <c r="F20" s="1" t="s">
        <v>95</v>
      </c>
      <c r="G20" s="1" t="s">
        <v>121</v>
      </c>
      <c r="H20" s="1" t="s">
        <v>108</v>
      </c>
      <c r="I20" s="1" t="s">
        <v>109</v>
      </c>
      <c r="J20" s="1" t="s">
        <v>99</v>
      </c>
      <c r="K20" s="1" t="s">
        <v>106</v>
      </c>
      <c r="L20" s="1" t="s">
        <v>141</v>
      </c>
      <c r="M20" s="1" t="s">
        <v>111</v>
      </c>
      <c r="N20" s="1" t="s">
        <v>107</v>
      </c>
      <c r="O20" s="1" t="s">
        <v>112</v>
      </c>
      <c r="P20" s="1" t="s">
        <v>113</v>
      </c>
      <c r="Q20" s="1" t="s">
        <v>114</v>
      </c>
      <c r="R20" s="1" t="s">
        <v>201</v>
      </c>
      <c r="S20" s="1" t="s">
        <v>140</v>
      </c>
    </row>
    <row r="21" spans="1:21" ht="29.1" customHeight="1" x14ac:dyDescent="0.2">
      <c r="A21" s="162" t="s">
        <v>125</v>
      </c>
      <c r="B21" s="14"/>
      <c r="C21" s="14"/>
      <c r="D21" s="14"/>
      <c r="E21" s="14"/>
      <c r="F21" s="14"/>
      <c r="G21" s="163">
        <f>SUM($G$22:$G$48)</f>
        <v>730.20999999999992</v>
      </c>
      <c r="H21" s="163">
        <f>SUM($H$22:$H$48)</f>
        <v>0</v>
      </c>
      <c r="I21" s="163">
        <f>SUM($I$22:$I$48)</f>
        <v>1</v>
      </c>
      <c r="J21" s="95"/>
      <c r="K21" s="95"/>
      <c r="L21" s="164">
        <f>MAX(L22:L48)</f>
        <v>253.33</v>
      </c>
      <c r="M21" s="163">
        <f>SUM($M$22:$M$48)</f>
        <v>32183.420000000006</v>
      </c>
      <c r="N21" s="95"/>
      <c r="O21" s="95"/>
      <c r="P21" s="163">
        <f>SUM($P$22:$P$48)</f>
        <v>0</v>
      </c>
      <c r="Q21" s="163">
        <f ca="1">SUM($Q$22:$Q$48)</f>
        <v>0</v>
      </c>
      <c r="R21" s="163">
        <f>ROUND(IF(L21=0,0,P21/L21),2)</f>
        <v>0</v>
      </c>
      <c r="S21" s="163">
        <f ca="1">ROUND(IF(L21=0,0,Q21/L21),2)</f>
        <v>0</v>
      </c>
    </row>
    <row r="22" spans="1:21" ht="15" customHeight="1" x14ac:dyDescent="0.2">
      <c r="A22" s="153">
        <v>1</v>
      </c>
      <c r="B22" s="165"/>
      <c r="C22" s="166" t="s">
        <v>316</v>
      </c>
      <c r="D22" s="166" t="s">
        <v>263</v>
      </c>
      <c r="E22" s="166" t="s">
        <v>509</v>
      </c>
      <c r="F22" s="166" t="s">
        <v>510</v>
      </c>
      <c r="G22" s="167">
        <v>17.010000000000002</v>
      </c>
      <c r="H22" s="167"/>
      <c r="I22" s="167"/>
      <c r="J22" s="153" t="s">
        <v>315</v>
      </c>
      <c r="K22" s="167">
        <v>1</v>
      </c>
      <c r="L22" s="95">
        <f>VLOOKUP(K22,Reinigungstage!A10:H31,8,FALSE)</f>
        <v>52.62</v>
      </c>
      <c r="M22" s="95">
        <f t="shared" ref="M22:M48" si="0">ROUND(IF(L22=0,0,L22*G22),2)</f>
        <v>895.07</v>
      </c>
      <c r="N22" s="168">
        <f t="shared" ref="N22:N48" si="1">VLOOKUP(J22,$G$4:$H$10,2,FALSE)</f>
        <v>0</v>
      </c>
      <c r="O22" s="95">
        <f ca="1">IF('SVS UnterhaltsRG'!H61="",0,'SVS UnterhaltsRG'!H61)</f>
        <v>0</v>
      </c>
      <c r="P22" s="95">
        <f t="shared" ref="P22:P48" si="2">ROUND(IF(N22=0,0,M22/N22),2)</f>
        <v>0</v>
      </c>
      <c r="Q22" s="95">
        <f t="shared" ref="Q22:Q48" ca="1" si="3">IF(M22=0,0,IF(O22="",0,ROUND(P22*O22,2)))</f>
        <v>0</v>
      </c>
      <c r="R22" s="95">
        <f t="shared" ref="R22:R48" si="4">ROUND(IF(P22=0,0,P22/L22),2)</f>
        <v>0</v>
      </c>
      <c r="S22" s="95">
        <f t="shared" ref="S22:S48" ca="1" si="5">ROUND(IF(Q22=0,0,Q22/L22),2)</f>
        <v>0</v>
      </c>
      <c r="T22" s="3" t="str">
        <f t="shared" ref="T22:T48" si="6">IF(M22=0,"",IF(N22=0,"Leistungswert eintragen",IF(O22=0,"SVS prüfen","")))</f>
        <v>Leistungswert eintragen</v>
      </c>
      <c r="U22" s="3">
        <f t="shared" ref="U22:U48" si="7">VLOOKUP(J22,$U$4:$V$10,2,FALSE)</f>
        <v>0</v>
      </c>
    </row>
    <row r="23" spans="1:21" ht="15" customHeight="1" x14ac:dyDescent="0.2">
      <c r="A23" s="153">
        <v>2</v>
      </c>
      <c r="B23" s="165"/>
      <c r="C23" s="166" t="s">
        <v>316</v>
      </c>
      <c r="D23" s="166" t="s">
        <v>263</v>
      </c>
      <c r="E23" s="166" t="s">
        <v>511</v>
      </c>
      <c r="F23" s="166" t="s">
        <v>512</v>
      </c>
      <c r="G23" s="167">
        <v>46.29</v>
      </c>
      <c r="H23" s="167"/>
      <c r="I23" s="167"/>
      <c r="J23" s="153" t="s">
        <v>315</v>
      </c>
      <c r="K23" s="167">
        <v>1</v>
      </c>
      <c r="L23" s="95">
        <f>VLOOKUP(K23,Reinigungstage!A10:H31,8,FALSE)</f>
        <v>52.62</v>
      </c>
      <c r="M23" s="95">
        <f t="shared" si="0"/>
        <v>2435.7800000000002</v>
      </c>
      <c r="N23" s="168">
        <f t="shared" si="1"/>
        <v>0</v>
      </c>
      <c r="O23" s="95">
        <f ca="1">IF('SVS UnterhaltsRG'!H61="",0,'SVS UnterhaltsRG'!H61)</f>
        <v>0</v>
      </c>
      <c r="P23" s="95">
        <f t="shared" si="2"/>
        <v>0</v>
      </c>
      <c r="Q23" s="95">
        <f t="shared" ca="1" si="3"/>
        <v>0</v>
      </c>
      <c r="R23" s="95">
        <f t="shared" si="4"/>
        <v>0</v>
      </c>
      <c r="S23" s="95">
        <f t="shared" ca="1" si="5"/>
        <v>0</v>
      </c>
      <c r="T23" s="3" t="str">
        <f t="shared" si="6"/>
        <v>Leistungswert eintragen</v>
      </c>
      <c r="U23" s="3">
        <f t="shared" si="7"/>
        <v>0</v>
      </c>
    </row>
    <row r="24" spans="1:21" ht="15" customHeight="1" x14ac:dyDescent="0.2">
      <c r="A24" s="153">
        <v>3</v>
      </c>
      <c r="B24" s="165"/>
      <c r="C24" s="166" t="s">
        <v>316</v>
      </c>
      <c r="D24" s="166" t="s">
        <v>263</v>
      </c>
      <c r="E24" s="166" t="s">
        <v>310</v>
      </c>
      <c r="F24" s="166" t="s">
        <v>513</v>
      </c>
      <c r="G24" s="167">
        <v>1.69</v>
      </c>
      <c r="H24" s="167"/>
      <c r="I24" s="167"/>
      <c r="J24" s="153" t="s">
        <v>310</v>
      </c>
      <c r="K24" s="167">
        <v>1</v>
      </c>
      <c r="L24" s="95">
        <f>VLOOKUP(K24,Reinigungstage!A10:H31,8,FALSE)</f>
        <v>52.62</v>
      </c>
      <c r="M24" s="95">
        <f t="shared" si="0"/>
        <v>88.93</v>
      </c>
      <c r="N24" s="168">
        <f t="shared" si="1"/>
        <v>0</v>
      </c>
      <c r="O24" s="95">
        <f ca="1">IF('SVS UnterhaltsRG'!H61="",0,'SVS UnterhaltsRG'!H61)</f>
        <v>0</v>
      </c>
      <c r="P24" s="95">
        <f t="shared" si="2"/>
        <v>0</v>
      </c>
      <c r="Q24" s="95">
        <f t="shared" ca="1" si="3"/>
        <v>0</v>
      </c>
      <c r="R24" s="95">
        <f t="shared" si="4"/>
        <v>0</v>
      </c>
      <c r="S24" s="95">
        <f t="shared" ca="1" si="5"/>
        <v>0</v>
      </c>
      <c r="T24" s="3" t="str">
        <f t="shared" si="6"/>
        <v>Leistungswert eintragen</v>
      </c>
      <c r="U24" s="3">
        <f t="shared" si="7"/>
        <v>0</v>
      </c>
    </row>
    <row r="25" spans="1:21" ht="15" customHeight="1" x14ac:dyDescent="0.2">
      <c r="A25" s="153">
        <v>4</v>
      </c>
      <c r="B25" s="165"/>
      <c r="C25" s="166" t="s">
        <v>316</v>
      </c>
      <c r="D25" s="166" t="s">
        <v>263</v>
      </c>
      <c r="E25" s="166" t="s">
        <v>309</v>
      </c>
      <c r="F25" s="166" t="s">
        <v>512</v>
      </c>
      <c r="G25" s="167">
        <v>1.29</v>
      </c>
      <c r="H25" s="167"/>
      <c r="I25" s="167"/>
      <c r="J25" s="153" t="s">
        <v>310</v>
      </c>
      <c r="K25" s="167">
        <v>1</v>
      </c>
      <c r="L25" s="95">
        <f>VLOOKUP(K25,Reinigungstage!A10:H31,8,FALSE)</f>
        <v>52.62</v>
      </c>
      <c r="M25" s="95">
        <f t="shared" si="0"/>
        <v>67.88</v>
      </c>
      <c r="N25" s="168">
        <f t="shared" si="1"/>
        <v>0</v>
      </c>
      <c r="O25" s="95">
        <f ca="1">IF('SVS UnterhaltsRG'!H61="",0,'SVS UnterhaltsRG'!H61)</f>
        <v>0</v>
      </c>
      <c r="P25" s="95">
        <f t="shared" si="2"/>
        <v>0</v>
      </c>
      <c r="Q25" s="95">
        <f t="shared" ca="1" si="3"/>
        <v>0</v>
      </c>
      <c r="R25" s="95">
        <f t="shared" si="4"/>
        <v>0</v>
      </c>
      <c r="S25" s="95">
        <f t="shared" ca="1" si="5"/>
        <v>0</v>
      </c>
      <c r="T25" s="3" t="str">
        <f t="shared" si="6"/>
        <v>Leistungswert eintragen</v>
      </c>
      <c r="U25" s="3">
        <f t="shared" si="7"/>
        <v>0</v>
      </c>
    </row>
    <row r="26" spans="1:21" ht="15" customHeight="1" x14ac:dyDescent="0.2">
      <c r="A26" s="153">
        <v>5</v>
      </c>
      <c r="B26" s="165"/>
      <c r="C26" s="166" t="s">
        <v>316</v>
      </c>
      <c r="D26" s="166" t="s">
        <v>263</v>
      </c>
      <c r="E26" s="166" t="s">
        <v>514</v>
      </c>
      <c r="F26" s="166" t="s">
        <v>287</v>
      </c>
      <c r="G26" s="167">
        <v>72.5</v>
      </c>
      <c r="H26" s="167"/>
      <c r="I26" s="167"/>
      <c r="J26" s="153" t="s">
        <v>315</v>
      </c>
      <c r="K26" s="167">
        <v>1</v>
      </c>
      <c r="L26" s="95">
        <f>VLOOKUP(K26,Reinigungstage!A10:H31,8,FALSE)</f>
        <v>52.62</v>
      </c>
      <c r="M26" s="95">
        <f t="shared" si="0"/>
        <v>3814.95</v>
      </c>
      <c r="N26" s="168">
        <f t="shared" si="1"/>
        <v>0</v>
      </c>
      <c r="O26" s="95">
        <f ca="1">IF('SVS UnterhaltsRG'!H61="",0,'SVS UnterhaltsRG'!H61)</f>
        <v>0</v>
      </c>
      <c r="P26" s="95">
        <f t="shared" si="2"/>
        <v>0</v>
      </c>
      <c r="Q26" s="95">
        <f t="shared" ca="1" si="3"/>
        <v>0</v>
      </c>
      <c r="R26" s="95">
        <f t="shared" si="4"/>
        <v>0</v>
      </c>
      <c r="S26" s="95">
        <f t="shared" ca="1" si="5"/>
        <v>0</v>
      </c>
      <c r="T26" s="3" t="str">
        <f t="shared" si="6"/>
        <v>Leistungswert eintragen</v>
      </c>
      <c r="U26" s="3">
        <f t="shared" si="7"/>
        <v>0</v>
      </c>
    </row>
    <row r="27" spans="1:21" ht="15" customHeight="1" x14ac:dyDescent="0.2">
      <c r="A27" s="153">
        <v>6</v>
      </c>
      <c r="B27" s="165"/>
      <c r="C27" s="166" t="s">
        <v>316</v>
      </c>
      <c r="D27" s="166" t="s">
        <v>263</v>
      </c>
      <c r="E27" s="166" t="s">
        <v>288</v>
      </c>
      <c r="F27" s="166" t="s">
        <v>287</v>
      </c>
      <c r="G27" s="167">
        <v>17.899999999999999</v>
      </c>
      <c r="H27" s="167"/>
      <c r="I27" s="167"/>
      <c r="J27" s="153" t="s">
        <v>313</v>
      </c>
      <c r="K27" s="167">
        <v>1</v>
      </c>
      <c r="L27" s="95">
        <f>VLOOKUP(K27,Reinigungstage!A10:H31,8,FALSE)</f>
        <v>52.62</v>
      </c>
      <c r="M27" s="95">
        <f t="shared" si="0"/>
        <v>941.9</v>
      </c>
      <c r="N27" s="168">
        <f t="shared" si="1"/>
        <v>0</v>
      </c>
      <c r="O27" s="95">
        <f ca="1">IF('SVS UnterhaltsRG'!H61="",0,'SVS UnterhaltsRG'!H61)</f>
        <v>0</v>
      </c>
      <c r="P27" s="95">
        <f t="shared" si="2"/>
        <v>0</v>
      </c>
      <c r="Q27" s="95">
        <f t="shared" ca="1" si="3"/>
        <v>0</v>
      </c>
      <c r="R27" s="95">
        <f t="shared" si="4"/>
        <v>0</v>
      </c>
      <c r="S27" s="95">
        <f t="shared" ca="1" si="5"/>
        <v>0</v>
      </c>
      <c r="T27" s="3" t="str">
        <f t="shared" si="6"/>
        <v>Leistungswert eintragen</v>
      </c>
      <c r="U27" s="3">
        <f t="shared" si="7"/>
        <v>0</v>
      </c>
    </row>
    <row r="28" spans="1:21" ht="15" customHeight="1" x14ac:dyDescent="0.2">
      <c r="A28" s="153">
        <v>7</v>
      </c>
      <c r="B28" s="165"/>
      <c r="C28" s="166" t="s">
        <v>316</v>
      </c>
      <c r="D28" s="166" t="s">
        <v>263</v>
      </c>
      <c r="E28" s="166" t="s">
        <v>402</v>
      </c>
      <c r="F28" s="166" t="s">
        <v>287</v>
      </c>
      <c r="G28" s="167">
        <v>7.3</v>
      </c>
      <c r="H28" s="167"/>
      <c r="I28" s="167"/>
      <c r="J28" s="153" t="s">
        <v>402</v>
      </c>
      <c r="K28" s="167">
        <v>1</v>
      </c>
      <c r="L28" s="95">
        <f>VLOOKUP(K28,Reinigungstage!A10:H31,8,FALSE)</f>
        <v>52.62</v>
      </c>
      <c r="M28" s="95">
        <f t="shared" si="0"/>
        <v>384.13</v>
      </c>
      <c r="N28" s="168">
        <f t="shared" si="1"/>
        <v>0</v>
      </c>
      <c r="O28" s="95">
        <f ca="1">IF('SVS UnterhaltsRG'!H61="",0,'SVS UnterhaltsRG'!H61)</f>
        <v>0</v>
      </c>
      <c r="P28" s="95">
        <f t="shared" si="2"/>
        <v>0</v>
      </c>
      <c r="Q28" s="95">
        <f t="shared" ca="1" si="3"/>
        <v>0</v>
      </c>
      <c r="R28" s="95">
        <f t="shared" si="4"/>
        <v>0</v>
      </c>
      <c r="S28" s="95">
        <f t="shared" ca="1" si="5"/>
        <v>0</v>
      </c>
      <c r="T28" s="3" t="str">
        <f t="shared" si="6"/>
        <v>Leistungswert eintragen</v>
      </c>
      <c r="U28" s="3">
        <f t="shared" si="7"/>
        <v>0</v>
      </c>
    </row>
    <row r="29" spans="1:21" ht="15" customHeight="1" x14ac:dyDescent="0.2">
      <c r="A29" s="153">
        <v>8</v>
      </c>
      <c r="B29" s="165"/>
      <c r="C29" s="166" t="s">
        <v>316</v>
      </c>
      <c r="D29" s="166" t="s">
        <v>263</v>
      </c>
      <c r="E29" s="166" t="s">
        <v>477</v>
      </c>
      <c r="F29" s="166" t="s">
        <v>287</v>
      </c>
      <c r="G29" s="167">
        <v>14.5</v>
      </c>
      <c r="H29" s="167"/>
      <c r="I29" s="167"/>
      <c r="J29" s="153" t="s">
        <v>404</v>
      </c>
      <c r="K29" s="167">
        <v>1</v>
      </c>
      <c r="L29" s="95">
        <f>VLOOKUP(K29,Reinigungstage!A10:H31,8,FALSE)</f>
        <v>52.62</v>
      </c>
      <c r="M29" s="95">
        <f t="shared" si="0"/>
        <v>762.99</v>
      </c>
      <c r="N29" s="168">
        <f t="shared" si="1"/>
        <v>0</v>
      </c>
      <c r="O29" s="95">
        <f ca="1">IF('SVS UnterhaltsRG'!H61="",0,'SVS UnterhaltsRG'!H61)</f>
        <v>0</v>
      </c>
      <c r="P29" s="95">
        <f t="shared" si="2"/>
        <v>0</v>
      </c>
      <c r="Q29" s="95">
        <f t="shared" ca="1" si="3"/>
        <v>0</v>
      </c>
      <c r="R29" s="95">
        <f t="shared" si="4"/>
        <v>0</v>
      </c>
      <c r="S29" s="95">
        <f t="shared" ca="1" si="5"/>
        <v>0</v>
      </c>
      <c r="T29" s="3" t="str">
        <f t="shared" si="6"/>
        <v>Leistungswert eintragen</v>
      </c>
      <c r="U29" s="3">
        <f t="shared" si="7"/>
        <v>0</v>
      </c>
    </row>
    <row r="30" spans="1:21" ht="21" x14ac:dyDescent="0.2">
      <c r="A30" s="153">
        <v>9</v>
      </c>
      <c r="B30" s="165"/>
      <c r="C30" s="166" t="s">
        <v>316</v>
      </c>
      <c r="D30" s="166" t="s">
        <v>263</v>
      </c>
      <c r="E30" s="166" t="s">
        <v>515</v>
      </c>
      <c r="F30" s="166" t="s">
        <v>287</v>
      </c>
      <c r="G30" s="167">
        <v>9.3800000000000008</v>
      </c>
      <c r="H30" s="167"/>
      <c r="I30" s="167"/>
      <c r="J30" s="153" t="s">
        <v>315</v>
      </c>
      <c r="K30" s="167">
        <v>1</v>
      </c>
      <c r="L30" s="95">
        <f>VLOOKUP(K30,Reinigungstage!A10:H31,8,FALSE)</f>
        <v>52.62</v>
      </c>
      <c r="M30" s="95">
        <f t="shared" si="0"/>
        <v>493.58</v>
      </c>
      <c r="N30" s="168">
        <f t="shared" si="1"/>
        <v>0</v>
      </c>
      <c r="O30" s="95">
        <f ca="1">IF('SVS UnterhaltsRG'!H61="",0,'SVS UnterhaltsRG'!H61)</f>
        <v>0</v>
      </c>
      <c r="P30" s="95">
        <f t="shared" si="2"/>
        <v>0</v>
      </c>
      <c r="Q30" s="95">
        <f t="shared" ca="1" si="3"/>
        <v>0</v>
      </c>
      <c r="R30" s="95">
        <f t="shared" si="4"/>
        <v>0</v>
      </c>
      <c r="S30" s="95">
        <f t="shared" ca="1" si="5"/>
        <v>0</v>
      </c>
      <c r="T30" s="3" t="str">
        <f t="shared" si="6"/>
        <v>Leistungswert eintragen</v>
      </c>
      <c r="U30" s="3">
        <f t="shared" si="7"/>
        <v>0</v>
      </c>
    </row>
    <row r="31" spans="1:21" ht="15" customHeight="1" x14ac:dyDescent="0.2">
      <c r="A31" s="153">
        <v>10</v>
      </c>
      <c r="B31" s="165"/>
      <c r="C31" s="166" t="s">
        <v>316</v>
      </c>
      <c r="D31" s="166" t="s">
        <v>263</v>
      </c>
      <c r="E31" s="166" t="s">
        <v>516</v>
      </c>
      <c r="F31" s="166" t="s">
        <v>495</v>
      </c>
      <c r="G31" s="167">
        <v>175.89</v>
      </c>
      <c r="H31" s="167"/>
      <c r="I31" s="167">
        <v>1</v>
      </c>
      <c r="J31" s="153" t="s">
        <v>315</v>
      </c>
      <c r="K31" s="167">
        <v>1</v>
      </c>
      <c r="L31" s="95">
        <f>VLOOKUP(K31,Reinigungstage!A10:H31,8,FALSE)</f>
        <v>52.62</v>
      </c>
      <c r="M31" s="95">
        <f t="shared" si="0"/>
        <v>9255.33</v>
      </c>
      <c r="N31" s="168">
        <f t="shared" si="1"/>
        <v>0</v>
      </c>
      <c r="O31" s="95">
        <f ca="1">IF('SVS UnterhaltsRG'!H61="",0,'SVS UnterhaltsRG'!H61)</f>
        <v>0</v>
      </c>
      <c r="P31" s="95">
        <f t="shared" si="2"/>
        <v>0</v>
      </c>
      <c r="Q31" s="95">
        <f t="shared" ca="1" si="3"/>
        <v>0</v>
      </c>
      <c r="R31" s="95">
        <f t="shared" si="4"/>
        <v>0</v>
      </c>
      <c r="S31" s="95">
        <f t="shared" ca="1" si="5"/>
        <v>0</v>
      </c>
      <c r="T31" s="3" t="str">
        <f t="shared" si="6"/>
        <v>Leistungswert eintragen</v>
      </c>
      <c r="U31" s="3">
        <f t="shared" si="7"/>
        <v>0</v>
      </c>
    </row>
    <row r="32" spans="1:21" ht="15" customHeight="1" x14ac:dyDescent="0.2">
      <c r="A32" s="153">
        <v>11</v>
      </c>
      <c r="B32" s="165"/>
      <c r="C32" s="166" t="s">
        <v>316</v>
      </c>
      <c r="D32" s="166" t="s">
        <v>263</v>
      </c>
      <c r="E32" s="166" t="s">
        <v>517</v>
      </c>
      <c r="F32" s="166" t="s">
        <v>287</v>
      </c>
      <c r="G32" s="167">
        <v>23.55</v>
      </c>
      <c r="H32" s="167"/>
      <c r="I32" s="167"/>
      <c r="J32" s="153" t="s">
        <v>312</v>
      </c>
      <c r="K32" s="153" t="s">
        <v>162</v>
      </c>
      <c r="L32" s="95">
        <f>VLOOKUP(K32,Reinigungstage!A10:H31,8,FALSE)</f>
        <v>12</v>
      </c>
      <c r="M32" s="95">
        <f t="shared" si="0"/>
        <v>282.60000000000002</v>
      </c>
      <c r="N32" s="168">
        <f t="shared" si="1"/>
        <v>0</v>
      </c>
      <c r="O32" s="95">
        <f ca="1">IF('SVS UnterhaltsRG'!H61="",0,'SVS UnterhaltsRG'!H61)</f>
        <v>0</v>
      </c>
      <c r="P32" s="95">
        <f t="shared" si="2"/>
        <v>0</v>
      </c>
      <c r="Q32" s="95">
        <f t="shared" ca="1" si="3"/>
        <v>0</v>
      </c>
      <c r="R32" s="95">
        <f t="shared" si="4"/>
        <v>0</v>
      </c>
      <c r="S32" s="95">
        <f t="shared" ca="1" si="5"/>
        <v>0</v>
      </c>
      <c r="T32" s="3" t="str">
        <f t="shared" si="6"/>
        <v>Leistungswert eintragen</v>
      </c>
      <c r="U32" s="3">
        <f t="shared" si="7"/>
        <v>0</v>
      </c>
    </row>
    <row r="33" spans="1:21" ht="15" customHeight="1" x14ac:dyDescent="0.2">
      <c r="A33" s="153">
        <v>12</v>
      </c>
      <c r="B33" s="165"/>
      <c r="C33" s="166" t="s">
        <v>316</v>
      </c>
      <c r="D33" s="166" t="s">
        <v>263</v>
      </c>
      <c r="E33" s="166" t="s">
        <v>518</v>
      </c>
      <c r="F33" s="166" t="s">
        <v>287</v>
      </c>
      <c r="G33" s="167">
        <v>1.19</v>
      </c>
      <c r="H33" s="167"/>
      <c r="I33" s="167"/>
      <c r="J33" s="153" t="s">
        <v>315</v>
      </c>
      <c r="K33" s="167">
        <v>1</v>
      </c>
      <c r="L33" s="95">
        <f>VLOOKUP(K33,Reinigungstage!A10:H31,8,FALSE)</f>
        <v>52.62</v>
      </c>
      <c r="M33" s="95">
        <f t="shared" si="0"/>
        <v>62.62</v>
      </c>
      <c r="N33" s="168">
        <f t="shared" si="1"/>
        <v>0</v>
      </c>
      <c r="O33" s="95">
        <f ca="1">IF('SVS UnterhaltsRG'!H61="",0,'SVS UnterhaltsRG'!H61)</f>
        <v>0</v>
      </c>
      <c r="P33" s="95">
        <f t="shared" si="2"/>
        <v>0</v>
      </c>
      <c r="Q33" s="95">
        <f t="shared" ca="1" si="3"/>
        <v>0</v>
      </c>
      <c r="R33" s="95">
        <f t="shared" si="4"/>
        <v>0</v>
      </c>
      <c r="S33" s="95">
        <f t="shared" ca="1" si="5"/>
        <v>0</v>
      </c>
      <c r="T33" s="3" t="str">
        <f t="shared" si="6"/>
        <v>Leistungswert eintragen</v>
      </c>
      <c r="U33" s="3">
        <f t="shared" si="7"/>
        <v>0</v>
      </c>
    </row>
    <row r="34" spans="1:21" ht="15" customHeight="1" x14ac:dyDescent="0.2">
      <c r="A34" s="153">
        <v>13</v>
      </c>
      <c r="B34" s="165"/>
      <c r="C34" s="166" t="s">
        <v>316</v>
      </c>
      <c r="D34" s="166" t="s">
        <v>263</v>
      </c>
      <c r="E34" s="166" t="s">
        <v>519</v>
      </c>
      <c r="F34" s="166" t="s">
        <v>280</v>
      </c>
      <c r="G34" s="167">
        <v>14.44</v>
      </c>
      <c r="H34" s="167"/>
      <c r="I34" s="167"/>
      <c r="J34" s="153" t="s">
        <v>310</v>
      </c>
      <c r="K34" s="167">
        <v>1</v>
      </c>
      <c r="L34" s="95">
        <f>VLOOKUP(K34,Reinigungstage!A10:H31,8,FALSE)</f>
        <v>52.62</v>
      </c>
      <c r="M34" s="95">
        <f t="shared" si="0"/>
        <v>759.83</v>
      </c>
      <c r="N34" s="168">
        <f t="shared" si="1"/>
        <v>0</v>
      </c>
      <c r="O34" s="95">
        <f ca="1">IF('SVS UnterhaltsRG'!H61="",0,'SVS UnterhaltsRG'!H61)</f>
        <v>0</v>
      </c>
      <c r="P34" s="95">
        <f t="shared" si="2"/>
        <v>0</v>
      </c>
      <c r="Q34" s="95">
        <f t="shared" ca="1" si="3"/>
        <v>0</v>
      </c>
      <c r="R34" s="95">
        <f t="shared" si="4"/>
        <v>0</v>
      </c>
      <c r="S34" s="95">
        <f t="shared" ca="1" si="5"/>
        <v>0</v>
      </c>
      <c r="T34" s="3" t="str">
        <f t="shared" si="6"/>
        <v>Leistungswert eintragen</v>
      </c>
      <c r="U34" s="3">
        <f t="shared" si="7"/>
        <v>0</v>
      </c>
    </row>
    <row r="35" spans="1:21" ht="15" customHeight="1" x14ac:dyDescent="0.2">
      <c r="A35" s="153">
        <v>14</v>
      </c>
      <c r="B35" s="165"/>
      <c r="C35" s="166" t="s">
        <v>306</v>
      </c>
      <c r="D35" s="166" t="s">
        <v>263</v>
      </c>
      <c r="E35" s="166" t="s">
        <v>520</v>
      </c>
      <c r="F35" s="166" t="s">
        <v>287</v>
      </c>
      <c r="G35" s="167">
        <v>48.3</v>
      </c>
      <c r="H35" s="167"/>
      <c r="I35" s="167"/>
      <c r="J35" s="153" t="s">
        <v>315</v>
      </c>
      <c r="K35" s="167">
        <v>1</v>
      </c>
      <c r="L35" s="95">
        <f>VLOOKUP(K35,Reinigungstage!A10:H31,8,FALSE)</f>
        <v>52.62</v>
      </c>
      <c r="M35" s="95">
        <f t="shared" si="0"/>
        <v>2541.5500000000002</v>
      </c>
      <c r="N35" s="168">
        <f t="shared" si="1"/>
        <v>0</v>
      </c>
      <c r="O35" s="95">
        <f ca="1">IF('SVS UnterhaltsRG'!H61="",0,'SVS UnterhaltsRG'!H61)</f>
        <v>0</v>
      </c>
      <c r="P35" s="95">
        <f t="shared" si="2"/>
        <v>0</v>
      </c>
      <c r="Q35" s="95">
        <f t="shared" ca="1" si="3"/>
        <v>0</v>
      </c>
      <c r="R35" s="95">
        <f t="shared" si="4"/>
        <v>0</v>
      </c>
      <c r="S35" s="95">
        <f t="shared" ca="1" si="5"/>
        <v>0</v>
      </c>
      <c r="T35" s="3" t="str">
        <f t="shared" si="6"/>
        <v>Leistungswert eintragen</v>
      </c>
      <c r="U35" s="3">
        <f t="shared" si="7"/>
        <v>0</v>
      </c>
    </row>
    <row r="36" spans="1:21" ht="15" customHeight="1" x14ac:dyDescent="0.2">
      <c r="A36" s="153">
        <v>15</v>
      </c>
      <c r="B36" s="165"/>
      <c r="C36" s="166" t="s">
        <v>306</v>
      </c>
      <c r="D36" s="166" t="s">
        <v>263</v>
      </c>
      <c r="E36" s="166" t="s">
        <v>521</v>
      </c>
      <c r="F36" s="166" t="s">
        <v>287</v>
      </c>
      <c r="G36" s="167">
        <v>46.83</v>
      </c>
      <c r="H36" s="167"/>
      <c r="I36" s="167"/>
      <c r="J36" s="153" t="s">
        <v>315</v>
      </c>
      <c r="K36" s="167">
        <v>1</v>
      </c>
      <c r="L36" s="95">
        <f>VLOOKUP(K36,Reinigungstage!A10:H31,8,FALSE)</f>
        <v>52.62</v>
      </c>
      <c r="M36" s="95">
        <f t="shared" si="0"/>
        <v>2464.19</v>
      </c>
      <c r="N36" s="168">
        <f t="shared" si="1"/>
        <v>0</v>
      </c>
      <c r="O36" s="95">
        <f ca="1">IF('SVS UnterhaltsRG'!H61="",0,'SVS UnterhaltsRG'!H61)</f>
        <v>0</v>
      </c>
      <c r="P36" s="95">
        <f t="shared" si="2"/>
        <v>0</v>
      </c>
      <c r="Q36" s="95">
        <f t="shared" ca="1" si="3"/>
        <v>0</v>
      </c>
      <c r="R36" s="95">
        <f t="shared" si="4"/>
        <v>0</v>
      </c>
      <c r="S36" s="95">
        <f t="shared" ca="1" si="5"/>
        <v>0</v>
      </c>
      <c r="T36" s="3" t="str">
        <f t="shared" si="6"/>
        <v>Leistungswert eintragen</v>
      </c>
      <c r="U36" s="3">
        <f t="shared" si="7"/>
        <v>0</v>
      </c>
    </row>
    <row r="37" spans="1:21" ht="15" customHeight="1" x14ac:dyDescent="0.2">
      <c r="A37" s="153">
        <v>16</v>
      </c>
      <c r="B37" s="165"/>
      <c r="C37" s="166" t="s">
        <v>306</v>
      </c>
      <c r="D37" s="166" t="s">
        <v>263</v>
      </c>
      <c r="E37" s="166" t="s">
        <v>522</v>
      </c>
      <c r="F37" s="166" t="s">
        <v>287</v>
      </c>
      <c r="G37" s="167">
        <v>27.59</v>
      </c>
      <c r="H37" s="167"/>
      <c r="I37" s="167"/>
      <c r="J37" s="153" t="s">
        <v>315</v>
      </c>
      <c r="K37" s="167">
        <v>1</v>
      </c>
      <c r="L37" s="95">
        <f>VLOOKUP(K37,Reinigungstage!A10:H31,8,FALSE)</f>
        <v>52.62</v>
      </c>
      <c r="M37" s="95">
        <f t="shared" si="0"/>
        <v>1451.79</v>
      </c>
      <c r="N37" s="168">
        <f t="shared" si="1"/>
        <v>0</v>
      </c>
      <c r="O37" s="95">
        <f ca="1">IF('SVS UnterhaltsRG'!H61="",0,'SVS UnterhaltsRG'!H61)</f>
        <v>0</v>
      </c>
      <c r="P37" s="95">
        <f t="shared" si="2"/>
        <v>0</v>
      </c>
      <c r="Q37" s="95">
        <f t="shared" ca="1" si="3"/>
        <v>0</v>
      </c>
      <c r="R37" s="95">
        <f t="shared" si="4"/>
        <v>0</v>
      </c>
      <c r="S37" s="95">
        <f t="shared" ca="1" si="5"/>
        <v>0</v>
      </c>
      <c r="T37" s="3" t="str">
        <f t="shared" si="6"/>
        <v>Leistungswert eintragen</v>
      </c>
      <c r="U37" s="3">
        <f t="shared" si="7"/>
        <v>0</v>
      </c>
    </row>
    <row r="38" spans="1:21" ht="15" customHeight="1" x14ac:dyDescent="0.2">
      <c r="A38" s="153">
        <v>17</v>
      </c>
      <c r="B38" s="165"/>
      <c r="C38" s="166" t="s">
        <v>306</v>
      </c>
      <c r="D38" s="166" t="s">
        <v>263</v>
      </c>
      <c r="E38" s="166" t="s">
        <v>288</v>
      </c>
      <c r="F38" s="166" t="s">
        <v>334</v>
      </c>
      <c r="G38" s="167">
        <v>8.19</v>
      </c>
      <c r="H38" s="167"/>
      <c r="I38" s="167"/>
      <c r="J38" s="153" t="s">
        <v>313</v>
      </c>
      <c r="K38" s="167">
        <v>1</v>
      </c>
      <c r="L38" s="95">
        <f>VLOOKUP(K38,Reinigungstage!A10:H31,8,FALSE)</f>
        <v>52.62</v>
      </c>
      <c r="M38" s="95">
        <f t="shared" si="0"/>
        <v>430.96</v>
      </c>
      <c r="N38" s="168">
        <f t="shared" si="1"/>
        <v>0</v>
      </c>
      <c r="O38" s="95">
        <f ca="1">IF('SVS UnterhaltsRG'!H61="",0,'SVS UnterhaltsRG'!H61)</f>
        <v>0</v>
      </c>
      <c r="P38" s="95">
        <f t="shared" si="2"/>
        <v>0</v>
      </c>
      <c r="Q38" s="95">
        <f t="shared" ca="1" si="3"/>
        <v>0</v>
      </c>
      <c r="R38" s="95">
        <f t="shared" si="4"/>
        <v>0</v>
      </c>
      <c r="S38" s="95">
        <f t="shared" ca="1" si="5"/>
        <v>0</v>
      </c>
      <c r="T38" s="3" t="str">
        <f t="shared" si="6"/>
        <v>Leistungswert eintragen</v>
      </c>
      <c r="U38" s="3">
        <f t="shared" si="7"/>
        <v>0</v>
      </c>
    </row>
    <row r="39" spans="1:21" ht="15" customHeight="1" x14ac:dyDescent="0.2">
      <c r="A39" s="153">
        <v>18</v>
      </c>
      <c r="B39" s="165"/>
      <c r="C39" s="166" t="s">
        <v>306</v>
      </c>
      <c r="D39" s="166" t="s">
        <v>263</v>
      </c>
      <c r="E39" s="166" t="s">
        <v>381</v>
      </c>
      <c r="F39" s="166" t="s">
        <v>293</v>
      </c>
      <c r="G39" s="167">
        <v>1.4</v>
      </c>
      <c r="H39" s="167"/>
      <c r="I39" s="167"/>
      <c r="J39" s="153" t="s">
        <v>314</v>
      </c>
      <c r="K39" s="167">
        <v>5</v>
      </c>
      <c r="L39" s="95">
        <f>VLOOKUP(K39,Reinigungstage!A10:H31,8,FALSE)</f>
        <v>253.33</v>
      </c>
      <c r="M39" s="95">
        <f t="shared" si="0"/>
        <v>354.66</v>
      </c>
      <c r="N39" s="168">
        <f t="shared" si="1"/>
        <v>0</v>
      </c>
      <c r="O39" s="95">
        <f ca="1">IF('SVS UnterhaltsRG'!H61="",0,'SVS UnterhaltsRG'!H61)</f>
        <v>0</v>
      </c>
      <c r="P39" s="95">
        <f t="shared" si="2"/>
        <v>0</v>
      </c>
      <c r="Q39" s="95">
        <f t="shared" ca="1" si="3"/>
        <v>0</v>
      </c>
      <c r="R39" s="95">
        <f t="shared" si="4"/>
        <v>0</v>
      </c>
      <c r="S39" s="95">
        <f t="shared" ca="1" si="5"/>
        <v>0</v>
      </c>
      <c r="T39" s="3" t="str">
        <f t="shared" si="6"/>
        <v>Leistungswert eintragen</v>
      </c>
      <c r="U39" s="3">
        <f t="shared" si="7"/>
        <v>0</v>
      </c>
    </row>
    <row r="40" spans="1:21" ht="15" customHeight="1" x14ac:dyDescent="0.2">
      <c r="A40" s="153">
        <v>19</v>
      </c>
      <c r="B40" s="165"/>
      <c r="C40" s="166" t="s">
        <v>306</v>
      </c>
      <c r="D40" s="166" t="s">
        <v>263</v>
      </c>
      <c r="E40" s="166" t="s">
        <v>380</v>
      </c>
      <c r="F40" s="166" t="s">
        <v>293</v>
      </c>
      <c r="G40" s="167">
        <v>1.4</v>
      </c>
      <c r="H40" s="167"/>
      <c r="I40" s="167"/>
      <c r="J40" s="153" t="s">
        <v>314</v>
      </c>
      <c r="K40" s="167">
        <v>5</v>
      </c>
      <c r="L40" s="95">
        <f>VLOOKUP(K40,Reinigungstage!A10:H31,8,FALSE)</f>
        <v>253.33</v>
      </c>
      <c r="M40" s="95">
        <f t="shared" si="0"/>
        <v>354.66</v>
      </c>
      <c r="N40" s="168">
        <f t="shared" si="1"/>
        <v>0</v>
      </c>
      <c r="O40" s="95">
        <f ca="1">IF('SVS UnterhaltsRG'!H61="",0,'SVS UnterhaltsRG'!H61)</f>
        <v>0</v>
      </c>
      <c r="P40" s="95">
        <f t="shared" si="2"/>
        <v>0</v>
      </c>
      <c r="Q40" s="95">
        <f t="shared" ca="1" si="3"/>
        <v>0</v>
      </c>
      <c r="R40" s="95">
        <f t="shared" si="4"/>
        <v>0</v>
      </c>
      <c r="S40" s="95">
        <f t="shared" ca="1" si="5"/>
        <v>0</v>
      </c>
      <c r="T40" s="3" t="str">
        <f t="shared" si="6"/>
        <v>Leistungswert eintragen</v>
      </c>
      <c r="U40" s="3">
        <f t="shared" si="7"/>
        <v>0</v>
      </c>
    </row>
    <row r="41" spans="1:21" ht="15" customHeight="1" x14ac:dyDescent="0.2">
      <c r="A41" s="153">
        <v>20</v>
      </c>
      <c r="B41" s="165"/>
      <c r="C41" s="166" t="s">
        <v>306</v>
      </c>
      <c r="D41" s="166" t="s">
        <v>263</v>
      </c>
      <c r="E41" s="166" t="s">
        <v>288</v>
      </c>
      <c r="F41" s="166" t="s">
        <v>334</v>
      </c>
      <c r="G41" s="167">
        <v>9.15</v>
      </c>
      <c r="H41" s="167"/>
      <c r="I41" s="167"/>
      <c r="J41" s="153" t="s">
        <v>313</v>
      </c>
      <c r="K41" s="167">
        <v>1</v>
      </c>
      <c r="L41" s="95">
        <f>VLOOKUP(K41,Reinigungstage!A10:H31,8,FALSE)</f>
        <v>52.62</v>
      </c>
      <c r="M41" s="95">
        <f t="shared" si="0"/>
        <v>481.47</v>
      </c>
      <c r="N41" s="168">
        <f t="shared" si="1"/>
        <v>0</v>
      </c>
      <c r="O41" s="95">
        <f ca="1">IF('SVS UnterhaltsRG'!H61="",0,'SVS UnterhaltsRG'!H61)</f>
        <v>0</v>
      </c>
      <c r="P41" s="95">
        <f t="shared" si="2"/>
        <v>0</v>
      </c>
      <c r="Q41" s="95">
        <f t="shared" ca="1" si="3"/>
        <v>0</v>
      </c>
      <c r="R41" s="95">
        <f t="shared" si="4"/>
        <v>0</v>
      </c>
      <c r="S41" s="95">
        <f t="shared" ca="1" si="5"/>
        <v>0</v>
      </c>
      <c r="T41" s="3" t="str">
        <f t="shared" si="6"/>
        <v>Leistungswert eintragen</v>
      </c>
      <c r="U41" s="3">
        <f t="shared" si="7"/>
        <v>0</v>
      </c>
    </row>
    <row r="42" spans="1:21" ht="15" customHeight="1" x14ac:dyDescent="0.2">
      <c r="A42" s="153">
        <v>21</v>
      </c>
      <c r="B42" s="165"/>
      <c r="C42" s="166" t="s">
        <v>306</v>
      </c>
      <c r="D42" s="166" t="s">
        <v>263</v>
      </c>
      <c r="E42" s="166" t="s">
        <v>523</v>
      </c>
      <c r="F42" s="166" t="s">
        <v>480</v>
      </c>
      <c r="G42" s="167">
        <v>76.989999999999995</v>
      </c>
      <c r="H42" s="167"/>
      <c r="I42" s="167"/>
      <c r="J42" s="153" t="s">
        <v>315</v>
      </c>
      <c r="K42" s="153" t="s">
        <v>162</v>
      </c>
      <c r="L42" s="95">
        <f>VLOOKUP(K42,Reinigungstage!A10:H31,8,FALSE)</f>
        <v>12</v>
      </c>
      <c r="M42" s="95">
        <f t="shared" si="0"/>
        <v>923.88</v>
      </c>
      <c r="N42" s="168">
        <f t="shared" si="1"/>
        <v>0</v>
      </c>
      <c r="O42" s="95">
        <f ca="1">IF('SVS UnterhaltsRG'!H61="",0,'SVS UnterhaltsRG'!H61)</f>
        <v>0</v>
      </c>
      <c r="P42" s="95">
        <f t="shared" si="2"/>
        <v>0</v>
      </c>
      <c r="Q42" s="95">
        <f t="shared" ca="1" si="3"/>
        <v>0</v>
      </c>
      <c r="R42" s="95">
        <f t="shared" si="4"/>
        <v>0</v>
      </c>
      <c r="S42" s="95">
        <f t="shared" ca="1" si="5"/>
        <v>0</v>
      </c>
      <c r="T42" s="3" t="str">
        <f t="shared" si="6"/>
        <v>Leistungswert eintragen</v>
      </c>
      <c r="U42" s="3">
        <f t="shared" si="7"/>
        <v>0</v>
      </c>
    </row>
    <row r="43" spans="1:21" ht="15" customHeight="1" x14ac:dyDescent="0.2">
      <c r="A43" s="153">
        <v>22</v>
      </c>
      <c r="B43" s="165"/>
      <c r="C43" s="166" t="s">
        <v>306</v>
      </c>
      <c r="D43" s="166" t="s">
        <v>263</v>
      </c>
      <c r="E43" s="166" t="s">
        <v>524</v>
      </c>
      <c r="F43" s="166" t="s">
        <v>303</v>
      </c>
      <c r="G43" s="167">
        <v>1.1000000000000001</v>
      </c>
      <c r="H43" s="167"/>
      <c r="I43" s="167"/>
      <c r="J43" s="153" t="s">
        <v>315</v>
      </c>
      <c r="K43" s="167">
        <v>1</v>
      </c>
      <c r="L43" s="95">
        <f>VLOOKUP(K43,Reinigungstage!A10:H31,8,FALSE)</f>
        <v>52.62</v>
      </c>
      <c r="M43" s="95">
        <f t="shared" si="0"/>
        <v>57.88</v>
      </c>
      <c r="N43" s="168">
        <f t="shared" si="1"/>
        <v>0</v>
      </c>
      <c r="O43" s="95">
        <f ca="1">IF('SVS UnterhaltsRG'!H61="",0,'SVS UnterhaltsRG'!H61)</f>
        <v>0</v>
      </c>
      <c r="P43" s="95">
        <f t="shared" si="2"/>
        <v>0</v>
      </c>
      <c r="Q43" s="95">
        <f t="shared" ca="1" si="3"/>
        <v>0</v>
      </c>
      <c r="R43" s="95">
        <f t="shared" si="4"/>
        <v>0</v>
      </c>
      <c r="S43" s="95">
        <f t="shared" ca="1" si="5"/>
        <v>0</v>
      </c>
      <c r="T43" s="3" t="str">
        <f t="shared" si="6"/>
        <v>Leistungswert eintragen</v>
      </c>
      <c r="U43" s="3">
        <f t="shared" si="7"/>
        <v>0</v>
      </c>
    </row>
    <row r="44" spans="1:21" ht="15" customHeight="1" x14ac:dyDescent="0.2">
      <c r="A44" s="153">
        <v>23</v>
      </c>
      <c r="B44" s="165"/>
      <c r="C44" s="166" t="s">
        <v>306</v>
      </c>
      <c r="D44" s="166" t="s">
        <v>263</v>
      </c>
      <c r="E44" s="166" t="s">
        <v>525</v>
      </c>
      <c r="F44" s="166" t="s">
        <v>480</v>
      </c>
      <c r="G44" s="167">
        <v>66.92</v>
      </c>
      <c r="H44" s="167"/>
      <c r="I44" s="167"/>
      <c r="J44" s="153" t="s">
        <v>315</v>
      </c>
      <c r="K44" s="153" t="s">
        <v>162</v>
      </c>
      <c r="L44" s="95">
        <f>VLOOKUP(K44,Reinigungstage!A10:H31,8,FALSE)</f>
        <v>12</v>
      </c>
      <c r="M44" s="95">
        <f t="shared" si="0"/>
        <v>803.04</v>
      </c>
      <c r="N44" s="168">
        <f t="shared" si="1"/>
        <v>0</v>
      </c>
      <c r="O44" s="95">
        <f ca="1">IF('SVS UnterhaltsRG'!H61="",0,'SVS UnterhaltsRG'!H61)</f>
        <v>0</v>
      </c>
      <c r="P44" s="95">
        <f t="shared" si="2"/>
        <v>0</v>
      </c>
      <c r="Q44" s="95">
        <f t="shared" ca="1" si="3"/>
        <v>0</v>
      </c>
      <c r="R44" s="95">
        <f t="shared" si="4"/>
        <v>0</v>
      </c>
      <c r="S44" s="95">
        <f t="shared" ca="1" si="5"/>
        <v>0</v>
      </c>
      <c r="T44" s="3" t="str">
        <f t="shared" si="6"/>
        <v>Leistungswert eintragen</v>
      </c>
      <c r="U44" s="3">
        <f t="shared" si="7"/>
        <v>0</v>
      </c>
    </row>
    <row r="45" spans="1:21" ht="15" customHeight="1" x14ac:dyDescent="0.2">
      <c r="A45" s="153">
        <v>24</v>
      </c>
      <c r="B45" s="165"/>
      <c r="C45" s="166" t="s">
        <v>306</v>
      </c>
      <c r="D45" s="166" t="s">
        <v>263</v>
      </c>
      <c r="E45" s="166" t="s">
        <v>519</v>
      </c>
      <c r="F45" s="166" t="s">
        <v>280</v>
      </c>
      <c r="G45" s="167">
        <v>4.78</v>
      </c>
      <c r="H45" s="167"/>
      <c r="I45" s="167"/>
      <c r="J45" s="153" t="s">
        <v>310</v>
      </c>
      <c r="K45" s="167">
        <v>1</v>
      </c>
      <c r="L45" s="95">
        <f>VLOOKUP(K45,Reinigungstage!A10:H31,8,FALSE)</f>
        <v>52.62</v>
      </c>
      <c r="M45" s="95">
        <f t="shared" si="0"/>
        <v>251.52</v>
      </c>
      <c r="N45" s="168">
        <f t="shared" si="1"/>
        <v>0</v>
      </c>
      <c r="O45" s="95">
        <f ca="1">IF('SVS UnterhaltsRG'!H61="",0,'SVS UnterhaltsRG'!H61)</f>
        <v>0</v>
      </c>
      <c r="P45" s="95">
        <f t="shared" si="2"/>
        <v>0</v>
      </c>
      <c r="Q45" s="95">
        <f t="shared" ca="1" si="3"/>
        <v>0</v>
      </c>
      <c r="R45" s="95">
        <f t="shared" si="4"/>
        <v>0</v>
      </c>
      <c r="S45" s="95">
        <f t="shared" ca="1" si="5"/>
        <v>0</v>
      </c>
      <c r="T45" s="3" t="str">
        <f t="shared" si="6"/>
        <v>Leistungswert eintragen</v>
      </c>
      <c r="U45" s="3">
        <f t="shared" si="7"/>
        <v>0</v>
      </c>
    </row>
    <row r="46" spans="1:21" ht="15" customHeight="1" x14ac:dyDescent="0.2">
      <c r="A46" s="153">
        <v>25</v>
      </c>
      <c r="B46" s="165"/>
      <c r="C46" s="166" t="s">
        <v>306</v>
      </c>
      <c r="D46" s="166" t="s">
        <v>526</v>
      </c>
      <c r="E46" s="166" t="s">
        <v>288</v>
      </c>
      <c r="F46" s="166" t="s">
        <v>303</v>
      </c>
      <c r="G46" s="167">
        <v>8.6999999999999993</v>
      </c>
      <c r="H46" s="167"/>
      <c r="I46" s="167"/>
      <c r="J46" s="153" t="s">
        <v>313</v>
      </c>
      <c r="K46" s="167">
        <v>1</v>
      </c>
      <c r="L46" s="95">
        <f>VLOOKUP(K46,Reinigungstage!A10:H31,8,FALSE)</f>
        <v>52.62</v>
      </c>
      <c r="M46" s="95">
        <f t="shared" si="0"/>
        <v>457.79</v>
      </c>
      <c r="N46" s="168">
        <f t="shared" si="1"/>
        <v>0</v>
      </c>
      <c r="O46" s="95">
        <f ca="1">IF('SVS UnterhaltsRG'!H61="",0,'SVS UnterhaltsRG'!H61)</f>
        <v>0</v>
      </c>
      <c r="P46" s="95">
        <f t="shared" si="2"/>
        <v>0</v>
      </c>
      <c r="Q46" s="95">
        <f t="shared" ca="1" si="3"/>
        <v>0</v>
      </c>
      <c r="R46" s="95">
        <f t="shared" si="4"/>
        <v>0</v>
      </c>
      <c r="S46" s="95">
        <f t="shared" ca="1" si="5"/>
        <v>0</v>
      </c>
      <c r="T46" s="3" t="str">
        <f t="shared" si="6"/>
        <v>Leistungswert eintragen</v>
      </c>
      <c r="U46" s="3">
        <f t="shared" si="7"/>
        <v>0</v>
      </c>
    </row>
    <row r="47" spans="1:21" ht="15" customHeight="1" x14ac:dyDescent="0.2">
      <c r="A47" s="153">
        <v>26</v>
      </c>
      <c r="B47" s="165"/>
      <c r="C47" s="166" t="s">
        <v>306</v>
      </c>
      <c r="D47" s="166" t="s">
        <v>526</v>
      </c>
      <c r="E47" s="166" t="s">
        <v>288</v>
      </c>
      <c r="F47" s="166" t="s">
        <v>303</v>
      </c>
      <c r="G47" s="167">
        <v>19.68</v>
      </c>
      <c r="H47" s="167"/>
      <c r="I47" s="167"/>
      <c r="J47" s="153" t="s">
        <v>313</v>
      </c>
      <c r="K47" s="167">
        <v>1</v>
      </c>
      <c r="L47" s="95">
        <f>VLOOKUP(K47,Reinigungstage!A10:H31,8,FALSE)</f>
        <v>52.62</v>
      </c>
      <c r="M47" s="95">
        <f t="shared" si="0"/>
        <v>1035.56</v>
      </c>
      <c r="N47" s="168">
        <f t="shared" si="1"/>
        <v>0</v>
      </c>
      <c r="O47" s="95">
        <f ca="1">IF('SVS UnterhaltsRG'!H61="",0,'SVS UnterhaltsRG'!H61)</f>
        <v>0</v>
      </c>
      <c r="P47" s="95">
        <f t="shared" si="2"/>
        <v>0</v>
      </c>
      <c r="Q47" s="95">
        <f t="shared" ca="1" si="3"/>
        <v>0</v>
      </c>
      <c r="R47" s="95">
        <f t="shared" si="4"/>
        <v>0</v>
      </c>
      <c r="S47" s="95">
        <f t="shared" ca="1" si="5"/>
        <v>0</v>
      </c>
      <c r="T47" s="3" t="str">
        <f t="shared" si="6"/>
        <v>Leistungswert eintragen</v>
      </c>
      <c r="U47" s="3">
        <f t="shared" si="7"/>
        <v>0</v>
      </c>
    </row>
    <row r="48" spans="1:21" ht="15" customHeight="1" x14ac:dyDescent="0.2">
      <c r="A48" s="153">
        <v>27</v>
      </c>
      <c r="B48" s="165"/>
      <c r="C48" s="166" t="s">
        <v>306</v>
      </c>
      <c r="D48" s="166"/>
      <c r="E48" s="166" t="s">
        <v>310</v>
      </c>
      <c r="F48" s="166" t="s">
        <v>303</v>
      </c>
      <c r="G48" s="167">
        <v>6.25</v>
      </c>
      <c r="H48" s="167"/>
      <c r="I48" s="167"/>
      <c r="J48" s="153" t="s">
        <v>310</v>
      </c>
      <c r="K48" s="167">
        <v>1</v>
      </c>
      <c r="L48" s="95">
        <f>VLOOKUP(K48,Reinigungstage!A10:H31,8,FALSE)</f>
        <v>52.62</v>
      </c>
      <c r="M48" s="95">
        <f t="shared" si="0"/>
        <v>328.88</v>
      </c>
      <c r="N48" s="168">
        <f t="shared" si="1"/>
        <v>0</v>
      </c>
      <c r="O48" s="95">
        <f ca="1">IF('SVS UnterhaltsRG'!H61="",0,'SVS UnterhaltsRG'!H61)</f>
        <v>0</v>
      </c>
      <c r="P48" s="95">
        <f t="shared" si="2"/>
        <v>0</v>
      </c>
      <c r="Q48" s="95">
        <f t="shared" ca="1" si="3"/>
        <v>0</v>
      </c>
      <c r="R48" s="95">
        <f t="shared" si="4"/>
        <v>0</v>
      </c>
      <c r="S48" s="95">
        <f t="shared" ca="1" si="5"/>
        <v>0</v>
      </c>
      <c r="T48" s="3" t="str">
        <f t="shared" si="6"/>
        <v>Leistungswert eintragen</v>
      </c>
      <c r="U48" s="3">
        <f t="shared" si="7"/>
        <v>0</v>
      </c>
    </row>
  </sheetData>
  <sheetProtection algorithmName="SHA-512" hashValue="46VdWKUWJn3UIGsj2LDxm3fOeyjHTKatff7vPWtORheqA8k/nnjG+z4Hcz5cznqMCZqBeLlJY5v2UI8//dxIkA==" saltValue="UyyGfeBwEdIBkMWtiRomAA==" spinCount="100000" sheet="1" objects="1" scenarios="1"/>
  <sortState xmlns:xlrd2="http://schemas.microsoft.com/office/spreadsheetml/2017/richdata2" ref="U4:U10">
    <sortCondition ref="U4"/>
  </sortState>
  <mergeCells count="16">
    <mergeCell ref="B13:E13"/>
    <mergeCell ref="B4:E5"/>
    <mergeCell ref="B6:E6"/>
    <mergeCell ref="B7:E7"/>
    <mergeCell ref="B8:E8"/>
    <mergeCell ref="B9:E9"/>
    <mergeCell ref="B10:E10"/>
    <mergeCell ref="B11:E11"/>
    <mergeCell ref="B12:E12"/>
    <mergeCell ref="N2:Q5"/>
    <mergeCell ref="A4:A5"/>
    <mergeCell ref="A2:E2"/>
    <mergeCell ref="G2:G3"/>
    <mergeCell ref="H2:H3"/>
    <mergeCell ref="I2:I3"/>
    <mergeCell ref="J2:J3"/>
  </mergeCells>
  <conditionalFormatting sqref="T22:T48">
    <cfRule type="containsText" dxfId="114" priority="1" stopIfTrue="1" operator="containsText" text="SVS prüfen">
      <formula>NOT(ISERROR(SEARCH("SVS prüfen",T22)))</formula>
    </cfRule>
    <cfRule type="containsText" dxfId="113" priority="2" stopIfTrue="1" operator="containsText" text="Leistungswert eintragen">
      <formula>NOT(ISERROR(SEARCH("Leistungswert eintragen",T22)))</formula>
    </cfRule>
  </conditionalFormatting>
  <hyperlinks>
    <hyperlink ref="M1" location="Inhaltsverzeichnis!A1" display="Zurück zum Inhaltsverzeichnis" xr:uid="{6C264B88-FC0A-4783-98B8-021F40CC4885}"/>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&amp;RKal Unter Schloss Ost&amp;LStadt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sizeWithCells="1">
                  <from>
                    <xdr:col>12</xdr:col>
                    <xdr:colOff>19050</xdr:colOff>
                    <xdr:row>1</xdr:row>
                    <xdr:rowOff>38100</xdr:rowOff>
                  </from>
                  <to>
                    <xdr:col>12</xdr:col>
                    <xdr:colOff>809625</xdr:colOff>
                    <xdr:row>2</xdr:row>
                    <xdr:rowOff>19050</xdr:rowOff>
                  </to>
                </anchor>
              </controlPr>
            </control>
          </mc:Choice>
        </mc:AlternateContent>
        <mc:AlternateContent xmlns:mc="http://schemas.openxmlformats.org/markup-compatibility/2006">
          <mc:Choice Requires="x14">
            <control shapeId="95234" r:id="rId5" name="Check Box 2">
              <controlPr defaultSize="0" autoFill="0" autoLine="0" autoPict="0" altText="Hinweis 2">
                <anchor moveWithCells="1" sizeWithCells="1">
                  <from>
                    <xdr:col>12</xdr:col>
                    <xdr:colOff>19050</xdr:colOff>
                    <xdr:row>2</xdr:row>
                    <xdr:rowOff>19050</xdr:rowOff>
                  </from>
                  <to>
                    <xdr:col>12</xdr:col>
                    <xdr:colOff>809625</xdr:colOff>
                    <xdr:row>2</xdr:row>
                    <xdr:rowOff>266700</xdr:rowOff>
                  </to>
                </anchor>
              </controlPr>
            </control>
          </mc:Choice>
        </mc:AlternateContent>
        <mc:AlternateContent xmlns:mc="http://schemas.openxmlformats.org/markup-compatibility/2006">
          <mc:Choice Requires="x14">
            <control shapeId="95235" r:id="rId6" name="Check Box 3">
              <controlPr defaultSize="0" autoFill="0" autoLine="0" autoPict="0" altText="Hinweis 3">
                <anchor moveWithCells="1" sizeWithCells="1">
                  <from>
                    <xdr:col>12</xdr:col>
                    <xdr:colOff>19050</xdr:colOff>
                    <xdr:row>3</xdr:row>
                    <xdr:rowOff>9525</xdr:rowOff>
                  </from>
                  <to>
                    <xdr:col>12</xdr:col>
                    <xdr:colOff>809625</xdr:colOff>
                    <xdr:row>4</xdr:row>
                    <xdr:rowOff>57150</xdr:rowOff>
                  </to>
                </anchor>
              </controlPr>
            </control>
          </mc:Choice>
        </mc:AlternateContent>
        <mc:AlternateContent xmlns:mc="http://schemas.openxmlformats.org/markup-compatibility/2006">
          <mc:Choice Requires="x14">
            <control shapeId="95236" r:id="rId7" name="Check Box 4">
              <controlPr defaultSize="0" autoFill="0" autoLine="0" autoPict="0" altText="Hinweis 3">
                <anchor moveWithCells="1" sizeWithCells="1">
                  <from>
                    <xdr:col>12</xdr:col>
                    <xdr:colOff>19050</xdr:colOff>
                    <xdr:row>4</xdr:row>
                    <xdr:rowOff>66675</xdr:rowOff>
                  </from>
                  <to>
                    <xdr:col>12</xdr:col>
                    <xdr:colOff>809625</xdr:colOff>
                    <xdr:row>5</xdr:row>
                    <xdr:rowOff>123825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9E6F2-EB6A-4476-8860-6FD5BBBDC569}">
  <sheetPr codeName="Tabelle49">
    <tabColor indexed="40"/>
  </sheetPr>
  <dimension ref="A1:U24"/>
  <sheetViews>
    <sheetView showGridLines="0" zoomScaleNormal="100" workbookViewId="0">
      <pane ySplit="21" topLeftCell="A22" activePane="bottomLeft" state="frozen"/>
      <selection pane="bottomLeft"/>
    </sheetView>
  </sheetViews>
  <sheetFormatPr baseColWidth="10" defaultColWidth="0" defaultRowHeight="15" customHeight="1" x14ac:dyDescent="0.2"/>
  <cols>
    <col min="1" max="1" width="11.7109375" style="3" customWidth="1"/>
    <col min="2" max="2" width="7.7109375" style="3" customWidth="1"/>
    <col min="3" max="3" width="5.7109375" style="3" customWidth="1"/>
    <col min="4" max="4" width="8.28515625" style="3" customWidth="1"/>
    <col min="5" max="5" width="21.7109375" style="3" customWidth="1"/>
    <col min="6" max="6" width="13.5703125" style="3" bestFit="1" customWidth="1"/>
    <col min="7" max="7" width="10.7109375" style="3" customWidth="1"/>
    <col min="8" max="8" width="9.7109375" style="3" customWidth="1"/>
    <col min="9" max="9" width="11.7109375" style="3" customWidth="1"/>
    <col min="10" max="10" width="10.5703125" style="3" bestFit="1" customWidth="1"/>
    <col min="11" max="11" width="7.85546875" style="3" customWidth="1"/>
    <col min="12" max="12" width="8.7109375" style="3" customWidth="1"/>
    <col min="13" max="13" width="12.140625" style="3" customWidth="1"/>
    <col min="14" max="14" width="9.42578125" style="3" customWidth="1"/>
    <col min="15" max="15" width="8.42578125" style="3" customWidth="1"/>
    <col min="16" max="17" width="11.42578125" style="3" customWidth="1"/>
    <col min="18" max="19" width="11.28515625" style="3" customWidth="1"/>
    <col min="20" max="20" width="22.28515625" style="3" customWidth="1"/>
    <col min="21" max="21" width="0" style="3" hidden="1" customWidth="1"/>
    <col min="22" max="16384" width="11.42578125" style="3" hidden="1"/>
  </cols>
  <sheetData>
    <row r="1" spans="1:21" ht="15" customHeight="1" x14ac:dyDescent="0.2">
      <c r="M1" s="5" t="s">
        <v>100</v>
      </c>
    </row>
    <row r="2" spans="1:21" ht="21" customHeight="1" x14ac:dyDescent="0.2">
      <c r="A2" s="217" t="s">
        <v>177</v>
      </c>
      <c r="B2" s="218"/>
      <c r="C2" s="218"/>
      <c r="D2" s="218" t="b">
        <v>0</v>
      </c>
      <c r="E2" s="219"/>
      <c r="G2" s="220" t="s">
        <v>190</v>
      </c>
      <c r="H2" s="220" t="s">
        <v>182</v>
      </c>
      <c r="I2" s="220" t="s">
        <v>183</v>
      </c>
      <c r="J2" s="220" t="s">
        <v>202</v>
      </c>
      <c r="M2" s="23" t="b">
        <v>0</v>
      </c>
      <c r="N2" s="192" t="str">
        <f>IF(M2=TRUE,"Bitte tragen Sie Ihre Leistungswerte in die gelben Zellen direkt unter der Zelle Leistungswerte (m²/h) ein. Die Leistungswerte werden automatisch in die untere Kalkulation übernommen. Die linke Tabelle ist lediglich eine Ausfüllhilfe.",IF(M3=TRUE,"Wenn eine Jahresreinigungsfläche für eine Reinigungsgruppe mit 0 angegeben ist, brauchen Sie den Leistungswert nicht auszufüllen. Es schadet aber nichts, wenn Sie es trotzdem tun.",IF(M4=TRUE,"Sie können in der Kalkulationstabelle (unten) in jedem einzelnen Raum die Leistungswerte (gelbe Zellen) beliebig oft individuell anpassen. Mit dem individuellen Überschreiben wird die Verknüpfung zu den Leistungswerten in der obigen Tabelle aufgehoben.",IF( M5=TRUE,"Die rot markierten Informationen sind auch lediglich eine Unterstützung. Sie erscheinen, wenn gelbe Zellen in dieser Tabelle oder in den Stundenverrechnungssätzen (SVS) nicht ausgefüllt sind. Wenn keine rote Schrift mehr da ist, ist alles vollständig.",""))))</f>
        <v/>
      </c>
      <c r="O2" s="192"/>
      <c r="P2" s="192"/>
      <c r="Q2" s="192"/>
    </row>
    <row r="3" spans="1:21" ht="21" customHeight="1" x14ac:dyDescent="0.2">
      <c r="A3" s="154" t="s">
        <v>275</v>
      </c>
      <c r="B3" s="155"/>
      <c r="C3" s="155"/>
      <c r="D3" s="155"/>
      <c r="E3" s="156"/>
      <c r="G3" s="221"/>
      <c r="H3" s="221" t="b">
        <v>0</v>
      </c>
      <c r="I3" s="221"/>
      <c r="J3" s="221"/>
      <c r="M3" s="23" t="b">
        <v>0</v>
      </c>
      <c r="N3" s="192"/>
      <c r="O3" s="192"/>
      <c r="P3" s="192"/>
      <c r="Q3" s="192"/>
    </row>
    <row r="4" spans="1:21" ht="15" customHeight="1" x14ac:dyDescent="0.2">
      <c r="A4" s="215" t="s">
        <v>91</v>
      </c>
      <c r="B4" s="225" t="str">
        <f>IF(Inhaltsverzeichnis!C3="","",Inhaltsverzeichnis!C3)</f>
        <v/>
      </c>
      <c r="C4" s="226"/>
      <c r="D4" s="226"/>
      <c r="E4" s="227"/>
      <c r="G4" s="153" t="s">
        <v>315</v>
      </c>
      <c r="H4" s="157"/>
      <c r="I4" s="158">
        <f ca="1">SUMIF('Kal Unter Bed Schloss Ost'!J22:M24,$G$4,'Kal Unter Bed Schloss Ost'!M22:M24)</f>
        <v>351.78</v>
      </c>
      <c r="J4" s="118">
        <f>COUNTIFS('Kal Unter Bed Schloss Ost'!J22:M24,$G$4)</f>
        <v>1</v>
      </c>
      <c r="M4" s="23" t="b">
        <v>0</v>
      </c>
      <c r="N4" s="192"/>
      <c r="O4" s="192"/>
      <c r="P4" s="192"/>
      <c r="Q4" s="192"/>
      <c r="U4" s="153" t="s">
        <v>402</v>
      </c>
    </row>
    <row r="5" spans="1:21" ht="15" customHeight="1" x14ac:dyDescent="0.2">
      <c r="A5" s="216"/>
      <c r="B5" s="228"/>
      <c r="C5" s="229"/>
      <c r="D5" s="229"/>
      <c r="E5" s="230"/>
      <c r="G5" s="153" t="s">
        <v>310</v>
      </c>
      <c r="H5" s="157"/>
      <c r="I5" s="158">
        <f ca="1">SUMIF('Kal Unter Bed Schloss Ost'!J22:M24,$G$5,'Kal Unter Bed Schloss Ost'!M22:M24)</f>
        <v>38.44</v>
      </c>
      <c r="J5" s="118">
        <f>COUNTIFS('Kal Unter Bed Schloss Ost'!J22:M24,$G$5)</f>
        <v>2</v>
      </c>
      <c r="M5" s="23" t="b">
        <v>0</v>
      </c>
      <c r="N5" s="192"/>
      <c r="O5" s="192"/>
      <c r="P5" s="192"/>
      <c r="Q5" s="192"/>
      <c r="U5" s="153" t="s">
        <v>315</v>
      </c>
    </row>
    <row r="6" spans="1:21" ht="15" customHeight="1" x14ac:dyDescent="0.2">
      <c r="A6" s="159" t="s">
        <v>200</v>
      </c>
      <c r="B6" s="231" t="s">
        <v>245</v>
      </c>
      <c r="C6" s="232"/>
      <c r="D6" s="232"/>
      <c r="E6" s="233"/>
      <c r="U6" s="153" t="s">
        <v>314</v>
      </c>
    </row>
    <row r="7" spans="1:21" ht="15" customHeight="1" x14ac:dyDescent="0.2">
      <c r="A7" s="160" t="s">
        <v>198</v>
      </c>
      <c r="B7" s="234" t="s">
        <v>262</v>
      </c>
      <c r="C7" s="232"/>
      <c r="D7" s="232"/>
      <c r="E7" s="233"/>
      <c r="U7" s="153" t="s">
        <v>312</v>
      </c>
    </row>
    <row r="8" spans="1:21" ht="15" customHeight="1" x14ac:dyDescent="0.2">
      <c r="A8" s="160" t="s">
        <v>199</v>
      </c>
      <c r="B8" s="231" t="s">
        <v>263</v>
      </c>
      <c r="C8" s="232"/>
      <c r="D8" s="232"/>
      <c r="E8" s="233"/>
      <c r="U8" s="153" t="s">
        <v>310</v>
      </c>
    </row>
    <row r="9" spans="1:21" ht="15" customHeight="1" x14ac:dyDescent="0.2">
      <c r="A9" s="159" t="s">
        <v>197</v>
      </c>
      <c r="B9" s="235" t="s">
        <v>261</v>
      </c>
      <c r="C9" s="232"/>
      <c r="D9" s="232"/>
      <c r="E9" s="233"/>
      <c r="U9" s="153" t="s">
        <v>313</v>
      </c>
    </row>
    <row r="10" spans="1:21" ht="15" customHeight="1" x14ac:dyDescent="0.2">
      <c r="A10" s="160" t="s">
        <v>179</v>
      </c>
      <c r="B10" s="231" t="s">
        <v>258</v>
      </c>
      <c r="C10" s="232"/>
      <c r="D10" s="232"/>
      <c r="E10" s="233"/>
      <c r="U10" s="153" t="s">
        <v>404</v>
      </c>
    </row>
    <row r="11" spans="1:21" ht="15" customHeight="1" x14ac:dyDescent="0.2">
      <c r="A11" s="160" t="s">
        <v>180</v>
      </c>
      <c r="B11" s="236" t="s">
        <v>248</v>
      </c>
      <c r="C11" s="232"/>
      <c r="D11" s="232"/>
      <c r="E11" s="233"/>
    </row>
    <row r="12" spans="1:21" ht="15" customHeight="1" x14ac:dyDescent="0.2">
      <c r="A12" s="160" t="s">
        <v>181</v>
      </c>
      <c r="B12" s="231" t="s">
        <v>249</v>
      </c>
      <c r="C12" s="232"/>
      <c r="D12" s="232"/>
      <c r="E12" s="233"/>
    </row>
    <row r="13" spans="1:21" ht="15" customHeight="1" x14ac:dyDescent="0.2">
      <c r="A13" s="160" t="s">
        <v>184</v>
      </c>
      <c r="B13" s="222" t="str">
        <f>HYPERLINK("http://maps.google.de/maps?hl=de&amp;bav=on.2,or.r_qf.&amp;bvm=bv.44770516,d.Yms&amp;biw=1395&amp;bih=916&amp;um=1&amp;ie=UTF-8&amp;q="&amp;B7&amp;"+"&amp;B8&amp;"+"&amp;B10&amp;"+"&amp;B11&amp;"+"&amp;B12&amp;"","In Google-Maps anzeigen (wenn Internet verfügbar)")</f>
        <v>In Google-Maps anzeigen (wenn Internet verfügbar)</v>
      </c>
      <c r="C13" s="223"/>
      <c r="D13" s="223"/>
      <c r="E13" s="224"/>
    </row>
    <row r="14" spans="1:21" ht="15" customHeight="1" x14ac:dyDescent="0.2">
      <c r="T14" s="161">
        <f>IF(COUNTA($T$22:$T$24)-COUNTBLANK($T$22:$T$24)=0,"",COUNTA($T$22:$T$24)-COUNTBLANK($T$22:$T$24))</f>
        <v>3</v>
      </c>
    </row>
    <row r="15" spans="1:21" ht="15" hidden="1" customHeight="1" x14ac:dyDescent="0.2"/>
    <row r="16" spans="1:21" ht="15" hidden="1" customHeight="1" x14ac:dyDescent="0.2"/>
    <row r="17" spans="1:21" ht="15" hidden="1" customHeight="1" x14ac:dyDescent="0.2"/>
    <row r="18" spans="1:21" ht="15" hidden="1" customHeight="1" x14ac:dyDescent="0.2"/>
    <row r="19" spans="1:21" ht="15" hidden="1" customHeight="1" x14ac:dyDescent="0.2"/>
    <row r="20" spans="1:21" ht="45" customHeight="1" x14ac:dyDescent="0.2">
      <c r="A20" s="1" t="s">
        <v>92</v>
      </c>
      <c r="B20" s="1" t="s">
        <v>97</v>
      </c>
      <c r="C20" s="1" t="s">
        <v>93</v>
      </c>
      <c r="D20" s="1" t="s">
        <v>94</v>
      </c>
      <c r="E20" s="1" t="s">
        <v>98</v>
      </c>
      <c r="F20" s="1" t="s">
        <v>95</v>
      </c>
      <c r="G20" s="1" t="s">
        <v>121</v>
      </c>
      <c r="H20" s="1" t="s">
        <v>108</v>
      </c>
      <c r="I20" s="1" t="s">
        <v>109</v>
      </c>
      <c r="J20" s="1" t="s">
        <v>99</v>
      </c>
      <c r="K20" s="1" t="s">
        <v>106</v>
      </c>
      <c r="L20" s="1" t="s">
        <v>141</v>
      </c>
      <c r="M20" s="1" t="s">
        <v>111</v>
      </c>
      <c r="N20" s="1" t="s">
        <v>107</v>
      </c>
      <c r="O20" s="1" t="s">
        <v>112</v>
      </c>
      <c r="P20" s="1" t="s">
        <v>113</v>
      </c>
      <c r="Q20" s="1" t="s">
        <v>114</v>
      </c>
      <c r="R20" s="1" t="s">
        <v>201</v>
      </c>
      <c r="S20" s="1" t="s">
        <v>140</v>
      </c>
    </row>
    <row r="21" spans="1:21" ht="29.1" customHeight="1" x14ac:dyDescent="0.2">
      <c r="A21" s="162" t="s">
        <v>125</v>
      </c>
      <c r="B21" s="14"/>
      <c r="C21" s="14"/>
      <c r="D21" s="14"/>
      <c r="E21" s="14"/>
      <c r="F21" s="14"/>
      <c r="G21" s="163">
        <f>SUM($G$22:$G$24)</f>
        <v>195.10999999999999</v>
      </c>
      <c r="H21" s="163">
        <f>SUM($H$22:$H$24)</f>
        <v>0</v>
      </c>
      <c r="I21" s="163">
        <f>SUM($I$22:$I$24)</f>
        <v>1</v>
      </c>
      <c r="J21" s="95"/>
      <c r="K21" s="95"/>
      <c r="L21" s="164">
        <f>MAX(L22:L24)</f>
        <v>2</v>
      </c>
      <c r="M21" s="163">
        <f>SUM($M$22:$M$24)</f>
        <v>390.21999999999997</v>
      </c>
      <c r="N21" s="95"/>
      <c r="O21" s="95"/>
      <c r="P21" s="163">
        <f>SUM($P$22:$P$24)</f>
        <v>0</v>
      </c>
      <c r="Q21" s="163">
        <f ca="1">SUM($Q$22:$Q$24)</f>
        <v>0</v>
      </c>
      <c r="R21" s="163">
        <f>ROUND(IF(L21=0,0,P21/L21),2)</f>
        <v>0</v>
      </c>
      <c r="S21" s="163">
        <f ca="1">ROUND(IF(L21=0,0,Q21/L21),2)</f>
        <v>0</v>
      </c>
    </row>
    <row r="22" spans="1:21" ht="15" customHeight="1" x14ac:dyDescent="0.2">
      <c r="A22" s="153">
        <v>1</v>
      </c>
      <c r="B22" s="165"/>
      <c r="C22" s="166" t="s">
        <v>316</v>
      </c>
      <c r="D22" s="166" t="s">
        <v>263</v>
      </c>
      <c r="E22" s="166" t="s">
        <v>516</v>
      </c>
      <c r="F22" s="166" t="s">
        <v>495</v>
      </c>
      <c r="G22" s="167">
        <v>175.89</v>
      </c>
      <c r="H22" s="167"/>
      <c r="I22" s="167">
        <v>1</v>
      </c>
      <c r="J22" s="153" t="s">
        <v>315</v>
      </c>
      <c r="K22" s="153" t="s">
        <v>171</v>
      </c>
      <c r="L22" s="95">
        <f>VLOOKUP(K22,Reinigungstage!A10:U31,21,FALSE)</f>
        <v>2</v>
      </c>
      <c r="M22" s="95">
        <f t="shared" ref="M22:M24" si="0">ROUND(IF(L22=0,0,L22*G22),2)</f>
        <v>351.78</v>
      </c>
      <c r="N22" s="168">
        <f>VLOOKUP(J22,$G$4:$H$10,2,FALSE)</f>
        <v>0</v>
      </c>
      <c r="O22" s="95">
        <f ca="1">IF('SVS UnterhaltsRG'!H61="",0,'SVS UnterhaltsRG'!H61)</f>
        <v>0</v>
      </c>
      <c r="P22" s="95">
        <f t="shared" ref="P22:P24" si="1">ROUND(IF(N22=0,0,M22/N22),2)</f>
        <v>0</v>
      </c>
      <c r="Q22" s="95">
        <f t="shared" ref="Q22:Q24" ca="1" si="2">IF(M22=0,0,IF(O22="",0,ROUND(P22*O22,2)))</f>
        <v>0</v>
      </c>
      <c r="R22" s="95">
        <f t="shared" ref="R22:R24" si="3">ROUND(IF(P22=0,0,P22/L22),2)</f>
        <v>0</v>
      </c>
      <c r="S22" s="95">
        <f t="shared" ref="S22:S24" ca="1" si="4">ROUND(IF(Q22=0,0,Q22/L22),2)</f>
        <v>0</v>
      </c>
      <c r="T22" s="3" t="str">
        <f t="shared" ref="T22:T24" si="5">IF(M22=0,"",IF(N22=0,"Leistungswert eintragen",IF(O22=0,"SVS prüfen","")))</f>
        <v>Leistungswert eintragen</v>
      </c>
      <c r="U22" s="3">
        <f t="shared" ref="U22:U24" si="6">VLOOKUP(J22,$U$4:$V$10,2,FALSE)</f>
        <v>0</v>
      </c>
    </row>
    <row r="23" spans="1:21" ht="15" customHeight="1" x14ac:dyDescent="0.2">
      <c r="A23" s="153">
        <v>2</v>
      </c>
      <c r="B23" s="165"/>
      <c r="C23" s="166" t="s">
        <v>316</v>
      </c>
      <c r="D23" s="166" t="s">
        <v>263</v>
      </c>
      <c r="E23" s="166" t="s">
        <v>519</v>
      </c>
      <c r="F23" s="166" t="s">
        <v>280</v>
      </c>
      <c r="G23" s="167">
        <v>14.44</v>
      </c>
      <c r="H23" s="167"/>
      <c r="I23" s="167"/>
      <c r="J23" s="153" t="s">
        <v>310</v>
      </c>
      <c r="K23" s="153" t="s">
        <v>171</v>
      </c>
      <c r="L23" s="95">
        <f>VLOOKUP(K23,Reinigungstage!A10:U31,21,FALSE)</f>
        <v>2</v>
      </c>
      <c r="M23" s="95">
        <f t="shared" si="0"/>
        <v>28.88</v>
      </c>
      <c r="N23" s="168">
        <f>VLOOKUP(J23,$G$4:$H$10,2,FALSE)</f>
        <v>0</v>
      </c>
      <c r="O23" s="95">
        <f ca="1">IF('SVS UnterhaltsRG'!H61="",0,'SVS UnterhaltsRG'!H61)</f>
        <v>0</v>
      </c>
      <c r="P23" s="95">
        <f t="shared" si="1"/>
        <v>0</v>
      </c>
      <c r="Q23" s="95">
        <f t="shared" ca="1" si="2"/>
        <v>0</v>
      </c>
      <c r="R23" s="95">
        <f t="shared" si="3"/>
        <v>0</v>
      </c>
      <c r="S23" s="95">
        <f t="shared" ca="1" si="4"/>
        <v>0</v>
      </c>
      <c r="T23" s="3" t="str">
        <f t="shared" si="5"/>
        <v>Leistungswert eintragen</v>
      </c>
      <c r="U23" s="3">
        <f t="shared" si="6"/>
        <v>0</v>
      </c>
    </row>
    <row r="24" spans="1:21" ht="15" customHeight="1" x14ac:dyDescent="0.2">
      <c r="A24" s="153">
        <v>3</v>
      </c>
      <c r="B24" s="165"/>
      <c r="C24" s="166" t="s">
        <v>306</v>
      </c>
      <c r="D24" s="166" t="s">
        <v>263</v>
      </c>
      <c r="E24" s="166" t="s">
        <v>519</v>
      </c>
      <c r="F24" s="166" t="s">
        <v>280</v>
      </c>
      <c r="G24" s="167">
        <v>4.78</v>
      </c>
      <c r="H24" s="167"/>
      <c r="I24" s="167"/>
      <c r="J24" s="153" t="s">
        <v>310</v>
      </c>
      <c r="K24" s="153" t="s">
        <v>171</v>
      </c>
      <c r="L24" s="95">
        <f>VLOOKUP(K24,Reinigungstage!A10:U31,21,FALSE)</f>
        <v>2</v>
      </c>
      <c r="M24" s="95">
        <f t="shared" si="0"/>
        <v>9.56</v>
      </c>
      <c r="N24" s="168">
        <f>VLOOKUP(J24,$G$4:$H$10,2,FALSE)</f>
        <v>0</v>
      </c>
      <c r="O24" s="95">
        <f ca="1">IF('SVS UnterhaltsRG'!H61="",0,'SVS UnterhaltsRG'!H61)</f>
        <v>0</v>
      </c>
      <c r="P24" s="95">
        <f t="shared" si="1"/>
        <v>0</v>
      </c>
      <c r="Q24" s="95">
        <f t="shared" ca="1" si="2"/>
        <v>0</v>
      </c>
      <c r="R24" s="95">
        <f t="shared" si="3"/>
        <v>0</v>
      </c>
      <c r="S24" s="95">
        <f t="shared" ca="1" si="4"/>
        <v>0</v>
      </c>
      <c r="T24" s="3" t="str">
        <f t="shared" si="5"/>
        <v>Leistungswert eintragen</v>
      </c>
      <c r="U24" s="3">
        <f t="shared" si="6"/>
        <v>0</v>
      </c>
    </row>
  </sheetData>
  <sheetProtection algorithmName="SHA-512" hashValue="AQpTDNmr4z5gn+sKEiPzpk5bMhZk0PnEgQ2PnXkq0lLwcU6bGTGqB3PCU9OjjLXeAdL3+srX06bp4rRW+X6f4g==" saltValue="rrshGxk9bvYU40zreymyjw==" spinCount="100000" sheet="1" objects="1" scenarios="1"/>
  <sortState xmlns:xlrd2="http://schemas.microsoft.com/office/spreadsheetml/2017/richdata2" ref="U4:U10">
    <sortCondition ref="U4"/>
  </sortState>
  <mergeCells count="16">
    <mergeCell ref="B13:E13"/>
    <mergeCell ref="B4:E5"/>
    <mergeCell ref="B6:E6"/>
    <mergeCell ref="B7:E7"/>
    <mergeCell ref="B8:E8"/>
    <mergeCell ref="B9:E9"/>
    <mergeCell ref="B10:E10"/>
    <mergeCell ref="B11:E11"/>
    <mergeCell ref="B12:E12"/>
    <mergeCell ref="N2:Q5"/>
    <mergeCell ref="A4:A5"/>
    <mergeCell ref="A2:E2"/>
    <mergeCell ref="G2:G3"/>
    <mergeCell ref="H2:H3"/>
    <mergeCell ref="I2:I3"/>
    <mergeCell ref="J2:J3"/>
  </mergeCells>
  <conditionalFormatting sqref="T22:T24">
    <cfRule type="containsText" dxfId="112" priority="1" stopIfTrue="1" operator="containsText" text="SVS prüfen">
      <formula>NOT(ISERROR(SEARCH("SVS prüfen",T22)))</formula>
    </cfRule>
    <cfRule type="containsText" dxfId="111" priority="2" stopIfTrue="1" operator="containsText" text="Leistungswert eintragen">
      <formula>NOT(ISERROR(SEARCH("Leistungswert eintragen",T22)))</formula>
    </cfRule>
  </conditionalFormatting>
  <hyperlinks>
    <hyperlink ref="M1" location="Inhaltsverzeichnis!A1" display="Zurück zum Inhaltsverzeichnis" xr:uid="{5E973FE0-D724-4811-BE19-787D5E7CCA1C}"/>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&amp;RKal Unter Bed Schloss Ost&amp;LStadt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sizeWithCells="1">
                  <from>
                    <xdr:col>12</xdr:col>
                    <xdr:colOff>19050</xdr:colOff>
                    <xdr:row>1</xdr:row>
                    <xdr:rowOff>38100</xdr:rowOff>
                  </from>
                  <to>
                    <xdr:col>12</xdr:col>
                    <xdr:colOff>809625</xdr:colOff>
                    <xdr:row>2</xdr:row>
                    <xdr:rowOff>19050</xdr:rowOff>
                  </to>
                </anchor>
              </controlPr>
            </control>
          </mc:Choice>
        </mc:AlternateContent>
        <mc:AlternateContent xmlns:mc="http://schemas.openxmlformats.org/markup-compatibility/2006">
          <mc:Choice Requires="x14">
            <control shapeId="108546" r:id="rId5" name="Check Box 2">
              <controlPr defaultSize="0" autoFill="0" autoLine="0" autoPict="0" altText="Hinweis 2">
                <anchor moveWithCells="1" sizeWithCells="1">
                  <from>
                    <xdr:col>12</xdr:col>
                    <xdr:colOff>19050</xdr:colOff>
                    <xdr:row>2</xdr:row>
                    <xdr:rowOff>19050</xdr:rowOff>
                  </from>
                  <to>
                    <xdr:col>12</xdr:col>
                    <xdr:colOff>809625</xdr:colOff>
                    <xdr:row>2</xdr:row>
                    <xdr:rowOff>266700</xdr:rowOff>
                  </to>
                </anchor>
              </controlPr>
            </control>
          </mc:Choice>
        </mc:AlternateContent>
        <mc:AlternateContent xmlns:mc="http://schemas.openxmlformats.org/markup-compatibility/2006">
          <mc:Choice Requires="x14">
            <control shapeId="108547" r:id="rId6" name="Check Box 3">
              <controlPr defaultSize="0" autoFill="0" autoLine="0" autoPict="0" altText="Hinweis 3">
                <anchor moveWithCells="1" sizeWithCells="1">
                  <from>
                    <xdr:col>12</xdr:col>
                    <xdr:colOff>19050</xdr:colOff>
                    <xdr:row>3</xdr:row>
                    <xdr:rowOff>9525</xdr:rowOff>
                  </from>
                  <to>
                    <xdr:col>12</xdr:col>
                    <xdr:colOff>809625</xdr:colOff>
                    <xdr:row>4</xdr:row>
                    <xdr:rowOff>57150</xdr:rowOff>
                  </to>
                </anchor>
              </controlPr>
            </control>
          </mc:Choice>
        </mc:AlternateContent>
        <mc:AlternateContent xmlns:mc="http://schemas.openxmlformats.org/markup-compatibility/2006">
          <mc:Choice Requires="x14">
            <control shapeId="108548" r:id="rId7" name="Check Box 4">
              <controlPr defaultSize="0" autoFill="0" autoLine="0" autoPict="0" altText="Hinweis 3">
                <anchor moveWithCells="1" sizeWithCells="1">
                  <from>
                    <xdr:col>12</xdr:col>
                    <xdr:colOff>19050</xdr:colOff>
                    <xdr:row>4</xdr:row>
                    <xdr:rowOff>66675</xdr:rowOff>
                  </from>
                  <to>
                    <xdr:col>12</xdr:col>
                    <xdr:colOff>809625</xdr:colOff>
                    <xdr:row>5</xdr:row>
                    <xdr:rowOff>123825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7129-03C9-4429-9A0B-F7E6DB89FFAC}">
  <sheetPr codeName="Tabelle37">
    <tabColor indexed="40"/>
  </sheetPr>
  <dimension ref="A1:U22"/>
  <sheetViews>
    <sheetView showGridLines="0" zoomScaleNormal="100" workbookViewId="0">
      <pane ySplit="21" topLeftCell="A22" activePane="bottomLeft" state="frozen"/>
      <selection pane="bottomLeft"/>
    </sheetView>
  </sheetViews>
  <sheetFormatPr baseColWidth="10" defaultColWidth="0" defaultRowHeight="15" customHeight="1" x14ac:dyDescent="0.2"/>
  <cols>
    <col min="1" max="1" width="11.7109375" style="3" customWidth="1"/>
    <col min="2" max="2" width="7.7109375" style="3" customWidth="1"/>
    <col min="3" max="3" width="5.7109375" style="3" customWidth="1"/>
    <col min="4" max="4" width="8.28515625" style="3" customWidth="1"/>
    <col min="5" max="5" width="21.7109375" style="3" customWidth="1"/>
    <col min="6" max="6" width="13.5703125" style="3" bestFit="1" customWidth="1"/>
    <col min="7" max="7" width="10.7109375" style="3" customWidth="1"/>
    <col min="8" max="8" width="9.7109375" style="3" customWidth="1"/>
    <col min="9" max="9" width="11.7109375" style="3" customWidth="1"/>
    <col min="10" max="10" width="10.5703125" style="3" bestFit="1" customWidth="1"/>
    <col min="11" max="11" width="7.85546875" style="3" customWidth="1"/>
    <col min="12" max="12" width="8.7109375" style="3" customWidth="1"/>
    <col min="13" max="13" width="12.140625" style="3" customWidth="1"/>
    <col min="14" max="14" width="9.42578125" style="3" customWidth="1"/>
    <col min="15" max="15" width="8.42578125" style="3" customWidth="1"/>
    <col min="16" max="17" width="11.42578125" style="3" customWidth="1"/>
    <col min="18" max="19" width="11.28515625" style="3" customWidth="1"/>
    <col min="20" max="20" width="22.28515625" style="3" customWidth="1"/>
    <col min="21" max="21" width="0" style="3" hidden="1" customWidth="1"/>
    <col min="22" max="16384" width="11.42578125" style="3" hidden="1"/>
  </cols>
  <sheetData>
    <row r="1" spans="1:21" ht="15" customHeight="1" x14ac:dyDescent="0.2">
      <c r="M1" s="5" t="s">
        <v>100</v>
      </c>
    </row>
    <row r="2" spans="1:21" ht="21" customHeight="1" x14ac:dyDescent="0.2">
      <c r="A2" s="217" t="s">
        <v>177</v>
      </c>
      <c r="B2" s="218"/>
      <c r="C2" s="218"/>
      <c r="D2" s="218" t="b">
        <v>0</v>
      </c>
      <c r="E2" s="219"/>
      <c r="G2" s="220" t="s">
        <v>190</v>
      </c>
      <c r="H2" s="220" t="s">
        <v>182</v>
      </c>
      <c r="I2" s="220" t="s">
        <v>183</v>
      </c>
      <c r="J2" s="220" t="s">
        <v>202</v>
      </c>
      <c r="M2" s="23" t="b">
        <v>0</v>
      </c>
      <c r="N2" s="192" t="str">
        <f>IF(M2=TRUE,"Bitte tragen Sie Ihre Leistungswerte in die gelben Zellen direkt unter der Zelle Leistungswerte (m²/h) ein. Die Leistungswerte werden automatisch in die untere Kalkulation übernommen. Die linke Tabelle ist lediglich eine Ausfüllhilfe.",IF(M3=TRUE,"Wenn eine Jahresreinigungsfläche für eine Reinigungsgruppe mit 0 angegeben ist, brauchen Sie den Leistungswert nicht auszufüllen. Es schadet aber nichts, wenn Sie es trotzdem tun.",IF(M4=TRUE,"Sie können in der Kalkulationstabelle (unten) in jedem einzelnen Raum die Leistungswerte (gelbe Zellen) beliebig oft individuell anpassen. Mit dem individuellen Überschreiben wird die Verknüpfung zu den Leistungswerten in der obigen Tabelle aufgehoben.",IF( M5=TRUE,"Die rot markierten Informationen sind auch lediglich eine Unterstützung. Sie erscheinen, wenn gelbe Zellen in dieser Tabelle oder in den Stundenverrechnungssätzen (SVS) nicht ausgefüllt sind. Wenn keine rote Schrift mehr da ist, ist alles vollständig.",""))))</f>
        <v/>
      </c>
      <c r="O2" s="192"/>
      <c r="P2" s="192"/>
      <c r="Q2" s="192"/>
    </row>
    <row r="3" spans="1:21" ht="21" customHeight="1" x14ac:dyDescent="0.2">
      <c r="A3" s="154" t="s">
        <v>178</v>
      </c>
      <c r="B3" s="155"/>
      <c r="C3" s="155"/>
      <c r="D3" s="155"/>
      <c r="E3" s="156"/>
      <c r="G3" s="221"/>
      <c r="H3" s="221" t="b">
        <v>0</v>
      </c>
      <c r="I3" s="221"/>
      <c r="J3" s="221"/>
      <c r="M3" s="23" t="b">
        <v>0</v>
      </c>
      <c r="N3" s="192"/>
      <c r="O3" s="192"/>
      <c r="P3" s="192"/>
      <c r="Q3" s="192"/>
    </row>
    <row r="4" spans="1:21" ht="15" customHeight="1" x14ac:dyDescent="0.2">
      <c r="A4" s="215" t="s">
        <v>91</v>
      </c>
      <c r="B4" s="225" t="str">
        <f>IF(Inhaltsverzeichnis!C3="","",Inhaltsverzeichnis!C3)</f>
        <v/>
      </c>
      <c r="C4" s="226"/>
      <c r="D4" s="226"/>
      <c r="E4" s="227"/>
      <c r="G4" s="153" t="s">
        <v>315</v>
      </c>
      <c r="H4" s="157"/>
      <c r="I4" s="158">
        <f ca="1">SUMIF('Kal Unter Schloss West'!J22:M22,$G$4,'Kal Unter Schloss West'!M22:M22)</f>
        <v>1878.53</v>
      </c>
      <c r="J4" s="118">
        <f>COUNTIFS('Kal Unter Schloss West'!J22:M22,$G$4)</f>
        <v>1</v>
      </c>
      <c r="M4" s="23" t="b">
        <v>0</v>
      </c>
      <c r="N4" s="192"/>
      <c r="O4" s="192"/>
      <c r="P4" s="192"/>
      <c r="Q4" s="192"/>
      <c r="U4" s="153" t="s">
        <v>315</v>
      </c>
    </row>
    <row r="5" spans="1:21" ht="15" customHeight="1" x14ac:dyDescent="0.2">
      <c r="A5" s="216"/>
      <c r="B5" s="228"/>
      <c r="C5" s="229"/>
      <c r="D5" s="229"/>
      <c r="E5" s="230"/>
      <c r="M5" s="23" t="b">
        <v>0</v>
      </c>
      <c r="N5" s="192"/>
      <c r="O5" s="192"/>
      <c r="P5" s="192"/>
      <c r="Q5" s="192"/>
    </row>
    <row r="6" spans="1:21" ht="15" customHeight="1" x14ac:dyDescent="0.2">
      <c r="A6" s="159" t="s">
        <v>200</v>
      </c>
      <c r="B6" s="231" t="s">
        <v>245</v>
      </c>
      <c r="C6" s="232"/>
      <c r="D6" s="232"/>
      <c r="E6" s="233"/>
      <c r="G6" s="152"/>
    </row>
    <row r="7" spans="1:21" ht="15" customHeight="1" x14ac:dyDescent="0.2">
      <c r="A7" s="160" t="s">
        <v>198</v>
      </c>
      <c r="B7" s="234" t="s">
        <v>262</v>
      </c>
      <c r="C7" s="232"/>
      <c r="D7" s="232"/>
      <c r="E7" s="233"/>
    </row>
    <row r="8" spans="1:21" ht="15" customHeight="1" x14ac:dyDescent="0.2">
      <c r="A8" s="160" t="s">
        <v>199</v>
      </c>
      <c r="B8" s="231" t="s">
        <v>265</v>
      </c>
      <c r="C8" s="232"/>
      <c r="D8" s="232"/>
      <c r="E8" s="233"/>
    </row>
    <row r="9" spans="1:21" ht="15" customHeight="1" x14ac:dyDescent="0.2">
      <c r="A9" s="159" t="s">
        <v>197</v>
      </c>
      <c r="B9" s="235" t="s">
        <v>264</v>
      </c>
      <c r="C9" s="232"/>
      <c r="D9" s="232"/>
      <c r="E9" s="233"/>
    </row>
    <row r="10" spans="1:21" ht="15" customHeight="1" x14ac:dyDescent="0.2">
      <c r="A10" s="160" t="s">
        <v>179</v>
      </c>
      <c r="B10" s="231" t="s">
        <v>258</v>
      </c>
      <c r="C10" s="232"/>
      <c r="D10" s="232"/>
      <c r="E10" s="233"/>
    </row>
    <row r="11" spans="1:21" ht="15" customHeight="1" x14ac:dyDescent="0.2">
      <c r="A11" s="160" t="s">
        <v>180</v>
      </c>
      <c r="B11" s="236" t="s">
        <v>248</v>
      </c>
      <c r="C11" s="232"/>
      <c r="D11" s="232"/>
      <c r="E11" s="233"/>
    </row>
    <row r="12" spans="1:21" ht="15" customHeight="1" x14ac:dyDescent="0.2">
      <c r="A12" s="160" t="s">
        <v>181</v>
      </c>
      <c r="B12" s="231" t="s">
        <v>249</v>
      </c>
      <c r="C12" s="232"/>
      <c r="D12" s="232"/>
      <c r="E12" s="233"/>
    </row>
    <row r="13" spans="1:21" ht="15" customHeight="1" x14ac:dyDescent="0.2">
      <c r="A13" s="160" t="s">
        <v>184</v>
      </c>
      <c r="B13" s="222" t="str">
        <f>HYPERLINK("http://maps.google.de/maps?hl=de&amp;bav=on.2,or.r_qf.&amp;bvm=bv.44770516,d.Yms&amp;biw=1395&amp;bih=916&amp;um=1&amp;ie=UTF-8&amp;q="&amp;B7&amp;"+"&amp;B8&amp;"+"&amp;B10&amp;"+"&amp;B11&amp;"+"&amp;B12&amp;"","In Google-Maps anzeigen (wenn Internet verfügbar)")</f>
        <v>In Google-Maps anzeigen (wenn Internet verfügbar)</v>
      </c>
      <c r="C13" s="223"/>
      <c r="D13" s="223"/>
      <c r="E13" s="224"/>
    </row>
    <row r="14" spans="1:21" ht="15" customHeight="1" x14ac:dyDescent="0.2">
      <c r="T14" s="161">
        <f>IF(COUNTA($T$22)-COUNTBLANK($T$22)=0,"",COUNTA($T$22)-COUNTBLANK($T$22))</f>
        <v>1</v>
      </c>
    </row>
    <row r="15" spans="1:21" ht="15" hidden="1" customHeight="1" x14ac:dyDescent="0.2"/>
    <row r="16" spans="1:21" ht="15" hidden="1" customHeight="1" x14ac:dyDescent="0.2"/>
    <row r="17" spans="1:21" ht="15" hidden="1" customHeight="1" x14ac:dyDescent="0.2"/>
    <row r="18" spans="1:21" ht="15" hidden="1" customHeight="1" x14ac:dyDescent="0.2"/>
    <row r="19" spans="1:21" ht="15" hidden="1" customHeight="1" x14ac:dyDescent="0.2"/>
    <row r="20" spans="1:21" ht="45" customHeight="1" x14ac:dyDescent="0.2">
      <c r="A20" s="1" t="s">
        <v>92</v>
      </c>
      <c r="B20" s="1" t="s">
        <v>97</v>
      </c>
      <c r="C20" s="1" t="s">
        <v>93</v>
      </c>
      <c r="D20" s="1" t="s">
        <v>94</v>
      </c>
      <c r="E20" s="1" t="s">
        <v>98</v>
      </c>
      <c r="F20" s="1" t="s">
        <v>95</v>
      </c>
      <c r="G20" s="1" t="s">
        <v>121</v>
      </c>
      <c r="H20" s="1" t="s">
        <v>108</v>
      </c>
      <c r="I20" s="1" t="s">
        <v>109</v>
      </c>
      <c r="J20" s="1" t="s">
        <v>99</v>
      </c>
      <c r="K20" s="1" t="s">
        <v>106</v>
      </c>
      <c r="L20" s="1" t="s">
        <v>141</v>
      </c>
      <c r="M20" s="1" t="s">
        <v>111</v>
      </c>
      <c r="N20" s="1" t="s">
        <v>107</v>
      </c>
      <c r="O20" s="1" t="s">
        <v>112</v>
      </c>
      <c r="P20" s="1" t="s">
        <v>113</v>
      </c>
      <c r="Q20" s="1" t="s">
        <v>114</v>
      </c>
      <c r="R20" s="1" t="s">
        <v>201</v>
      </c>
      <c r="S20" s="1" t="s">
        <v>140</v>
      </c>
    </row>
    <row r="21" spans="1:21" ht="29.1" customHeight="1" x14ac:dyDescent="0.2">
      <c r="A21" s="162" t="s">
        <v>125</v>
      </c>
      <c r="B21" s="14"/>
      <c r="C21" s="14"/>
      <c r="D21" s="14"/>
      <c r="E21" s="14"/>
      <c r="F21" s="14"/>
      <c r="G21" s="163">
        <f>SUM($G$22:$G$22)</f>
        <v>35.700000000000003</v>
      </c>
      <c r="H21" s="163">
        <f>SUM($H$22:$H$22)</f>
        <v>0</v>
      </c>
      <c r="I21" s="163">
        <f>SUM($I$22:$I$22)</f>
        <v>0</v>
      </c>
      <c r="J21" s="95"/>
      <c r="K21" s="95"/>
      <c r="L21" s="164">
        <f>MAX(L22)</f>
        <v>52.62</v>
      </c>
      <c r="M21" s="163">
        <f>SUM($M$22:$M$22)</f>
        <v>1878.53</v>
      </c>
      <c r="N21" s="95"/>
      <c r="O21" s="95"/>
      <c r="P21" s="163">
        <f>SUM($P$22:$P$22)</f>
        <v>0</v>
      </c>
      <c r="Q21" s="163">
        <f ca="1">SUM($Q$22:$Q$22)</f>
        <v>0</v>
      </c>
      <c r="R21" s="163">
        <f>ROUND(IF(L21=0,0,P21/L21),2)</f>
        <v>0</v>
      </c>
      <c r="S21" s="163">
        <f ca="1">ROUND(IF(L21=0,0,Q21/L21),2)</f>
        <v>0</v>
      </c>
    </row>
    <row r="22" spans="1:21" ht="15" customHeight="1" x14ac:dyDescent="0.2">
      <c r="A22" s="153">
        <v>1</v>
      </c>
      <c r="B22" s="165"/>
      <c r="C22" s="166" t="s">
        <v>316</v>
      </c>
      <c r="D22" s="166" t="s">
        <v>263</v>
      </c>
      <c r="E22" s="166" t="s">
        <v>527</v>
      </c>
      <c r="F22" s="166" t="s">
        <v>303</v>
      </c>
      <c r="G22" s="167">
        <v>35.700000000000003</v>
      </c>
      <c r="H22" s="167"/>
      <c r="I22" s="167"/>
      <c r="J22" s="153" t="s">
        <v>315</v>
      </c>
      <c r="K22" s="167">
        <v>1</v>
      </c>
      <c r="L22" s="95">
        <f>VLOOKUP(K22,Reinigungstage!A10:I31,9,FALSE)</f>
        <v>52.62</v>
      </c>
      <c r="M22" s="95">
        <f>ROUND(IF(L22=0,0,L22*G22),2)</f>
        <v>1878.53</v>
      </c>
      <c r="N22" s="168">
        <f>VLOOKUP(J22,$G$4:$H$4,2,FALSE)</f>
        <v>0</v>
      </c>
      <c r="O22" s="95">
        <f ca="1">IF('SVS UnterhaltsRG'!H61="",0,'SVS UnterhaltsRG'!H61)</f>
        <v>0</v>
      </c>
      <c r="P22" s="95">
        <f>ROUND(IF(N22=0,0,M22/N22),2)</f>
        <v>0</v>
      </c>
      <c r="Q22" s="95">
        <f ca="1">IF(M22=0,0,IF(O22="",0,ROUND(P22*O22,2)))</f>
        <v>0</v>
      </c>
      <c r="R22" s="95">
        <f>ROUND(IF(P22=0,0,P22/L22),2)</f>
        <v>0</v>
      </c>
      <c r="S22" s="95">
        <f ca="1">ROUND(IF(Q22=0,0,Q22/L22),2)</f>
        <v>0</v>
      </c>
      <c r="T22" s="3" t="str">
        <f>IF(M22=0,"",IF(N22=0,"Leistungswert eintragen",IF(O22=0,"SVS prüfen","")))</f>
        <v>Leistungswert eintragen</v>
      </c>
      <c r="U22" s="3">
        <f>VLOOKUP(J22,$U$4:$V$4,2,FALSE)</f>
        <v>0</v>
      </c>
    </row>
  </sheetData>
  <sheetProtection algorithmName="SHA-512" hashValue="Jri+e8C4Q/K9H1s5i8hCGygdlcKn5EbEN7Q4zZr3m8n/itC+fCXKotaBhok+p1dREJxGXl6jAx4oSqmztZOSGw==" saltValue="CHCBvlxYwk9gw7HMTNmuIg==" spinCount="100000" sheet="1" objects="1" scenarios="1"/>
  <mergeCells count="16">
    <mergeCell ref="B13:E13"/>
    <mergeCell ref="B4:E5"/>
    <mergeCell ref="B6:E6"/>
    <mergeCell ref="B7:E7"/>
    <mergeCell ref="B8:E8"/>
    <mergeCell ref="B9:E9"/>
    <mergeCell ref="B10:E10"/>
    <mergeCell ref="B11:E11"/>
    <mergeCell ref="B12:E12"/>
    <mergeCell ref="N2:Q5"/>
    <mergeCell ref="A4:A5"/>
    <mergeCell ref="A2:E2"/>
    <mergeCell ref="G2:G3"/>
    <mergeCell ref="H2:H3"/>
    <mergeCell ref="I2:I3"/>
    <mergeCell ref="J2:J3"/>
  </mergeCells>
  <conditionalFormatting sqref="T22">
    <cfRule type="containsText" dxfId="110" priority="1" stopIfTrue="1" operator="containsText" text="SVS prüfen">
      <formula>NOT(ISERROR(SEARCH("SVS prüfen",T22)))</formula>
    </cfRule>
    <cfRule type="containsText" dxfId="109" priority="2" stopIfTrue="1" operator="containsText" text="Leistungswert eintragen">
      <formula>NOT(ISERROR(SEARCH("Leistungswert eintragen",T22)))</formula>
    </cfRule>
  </conditionalFormatting>
  <hyperlinks>
    <hyperlink ref="M1" location="Inhaltsverzeichnis!A1" display="Zurück zum Inhaltsverzeichnis" xr:uid="{06E52907-24EB-431A-AECE-9E4409119F55}"/>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&amp;RKal Unter Schloss West&amp;LStadt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sizeWithCells="1">
                  <from>
                    <xdr:col>12</xdr:col>
                    <xdr:colOff>19050</xdr:colOff>
                    <xdr:row>1</xdr:row>
                    <xdr:rowOff>38100</xdr:rowOff>
                  </from>
                  <to>
                    <xdr:col>12</xdr:col>
                    <xdr:colOff>809625</xdr:colOff>
                    <xdr:row>2</xdr:row>
                    <xdr:rowOff>19050</xdr:rowOff>
                  </to>
                </anchor>
              </controlPr>
            </control>
          </mc:Choice>
        </mc:AlternateContent>
        <mc:AlternateContent xmlns:mc="http://schemas.openxmlformats.org/markup-compatibility/2006">
          <mc:Choice Requires="x14">
            <control shapeId="96258" r:id="rId5" name="Check Box 2">
              <controlPr defaultSize="0" autoFill="0" autoLine="0" autoPict="0" altText="Hinweis 2">
                <anchor moveWithCells="1" sizeWithCells="1">
                  <from>
                    <xdr:col>12</xdr:col>
                    <xdr:colOff>19050</xdr:colOff>
                    <xdr:row>2</xdr:row>
                    <xdr:rowOff>19050</xdr:rowOff>
                  </from>
                  <to>
                    <xdr:col>12</xdr:col>
                    <xdr:colOff>809625</xdr:colOff>
                    <xdr:row>2</xdr:row>
                    <xdr:rowOff>266700</xdr:rowOff>
                  </to>
                </anchor>
              </controlPr>
            </control>
          </mc:Choice>
        </mc:AlternateContent>
        <mc:AlternateContent xmlns:mc="http://schemas.openxmlformats.org/markup-compatibility/2006">
          <mc:Choice Requires="x14">
            <control shapeId="96259" r:id="rId6" name="Check Box 3">
              <controlPr defaultSize="0" autoFill="0" autoLine="0" autoPict="0" altText="Hinweis 3">
                <anchor moveWithCells="1" sizeWithCells="1">
                  <from>
                    <xdr:col>12</xdr:col>
                    <xdr:colOff>19050</xdr:colOff>
                    <xdr:row>3</xdr:row>
                    <xdr:rowOff>9525</xdr:rowOff>
                  </from>
                  <to>
                    <xdr:col>12</xdr:col>
                    <xdr:colOff>809625</xdr:colOff>
                    <xdr:row>4</xdr:row>
                    <xdr:rowOff>57150</xdr:rowOff>
                  </to>
                </anchor>
              </controlPr>
            </control>
          </mc:Choice>
        </mc:AlternateContent>
        <mc:AlternateContent xmlns:mc="http://schemas.openxmlformats.org/markup-compatibility/2006">
          <mc:Choice Requires="x14">
            <control shapeId="96260" r:id="rId7" name="Check Box 4">
              <controlPr defaultSize="0" autoFill="0" autoLine="0" autoPict="0" altText="Hinweis 3">
                <anchor moveWithCells="1" sizeWithCells="1">
                  <from>
                    <xdr:col>12</xdr:col>
                    <xdr:colOff>19050</xdr:colOff>
                    <xdr:row>4</xdr:row>
                    <xdr:rowOff>66675</xdr:rowOff>
                  </from>
                  <to>
                    <xdr:col>12</xdr:col>
                    <xdr:colOff>809625</xdr:colOff>
                    <xdr:row>5</xdr:row>
                    <xdr:rowOff>123825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150C3-E515-438C-B866-4A07C68D5428}">
  <sheetPr codeName="Tabelle38">
    <tabColor indexed="40"/>
  </sheetPr>
  <dimension ref="A1:U38"/>
  <sheetViews>
    <sheetView showGridLines="0" zoomScaleNormal="100" workbookViewId="0">
      <pane ySplit="21" topLeftCell="A22" activePane="bottomLeft" state="frozen"/>
      <selection pane="bottomLeft"/>
    </sheetView>
  </sheetViews>
  <sheetFormatPr baseColWidth="10" defaultColWidth="0" defaultRowHeight="15" customHeight="1" x14ac:dyDescent="0.2"/>
  <cols>
    <col min="1" max="1" width="11.7109375" style="3" customWidth="1"/>
    <col min="2" max="2" width="7.7109375" style="3" customWidth="1"/>
    <col min="3" max="3" width="5.7109375" style="3" customWidth="1"/>
    <col min="4" max="4" width="8.28515625" style="3" customWidth="1"/>
    <col min="5" max="5" width="21.7109375" style="3" customWidth="1"/>
    <col min="6" max="6" width="13.5703125" style="3" bestFit="1" customWidth="1"/>
    <col min="7" max="7" width="10.7109375" style="3" customWidth="1"/>
    <col min="8" max="8" width="9.7109375" style="3" customWidth="1"/>
    <col min="9" max="9" width="11.7109375" style="3" customWidth="1"/>
    <col min="10" max="10" width="10.5703125" style="3" bestFit="1" customWidth="1"/>
    <col min="11" max="11" width="7.85546875" style="3" customWidth="1"/>
    <col min="12" max="12" width="8.7109375" style="3" customWidth="1"/>
    <col min="13" max="13" width="12.140625" style="3" customWidth="1"/>
    <col min="14" max="14" width="9.42578125" style="3" customWidth="1"/>
    <col min="15" max="15" width="8.42578125" style="3" customWidth="1"/>
    <col min="16" max="17" width="11.42578125" style="3" customWidth="1"/>
    <col min="18" max="19" width="11.28515625" style="3" customWidth="1"/>
    <col min="20" max="20" width="22.28515625" style="3" customWidth="1"/>
    <col min="21" max="21" width="0" style="3" hidden="1" customWidth="1"/>
    <col min="22" max="16384" width="11.42578125" style="3" hidden="1"/>
  </cols>
  <sheetData>
    <row r="1" spans="1:21" ht="15" customHeight="1" x14ac:dyDescent="0.2">
      <c r="M1" s="5" t="s">
        <v>100</v>
      </c>
    </row>
    <row r="2" spans="1:21" ht="21" customHeight="1" x14ac:dyDescent="0.2">
      <c r="A2" s="217" t="s">
        <v>177</v>
      </c>
      <c r="B2" s="218"/>
      <c r="C2" s="218"/>
      <c r="D2" s="218" t="b">
        <v>0</v>
      </c>
      <c r="E2" s="219"/>
      <c r="G2" s="220" t="s">
        <v>190</v>
      </c>
      <c r="H2" s="220" t="s">
        <v>182</v>
      </c>
      <c r="I2" s="220" t="s">
        <v>183</v>
      </c>
      <c r="J2" s="220" t="s">
        <v>202</v>
      </c>
      <c r="M2" s="23" t="b">
        <v>0</v>
      </c>
      <c r="N2" s="192" t="str">
        <f>IF(M2=TRUE,"Bitte tragen Sie Ihre Leistungswerte in die gelben Zellen direkt unter der Zelle Leistungswerte (m²/h) ein. Die Leistungswerte werden automatisch in die untere Kalkulation übernommen. Die linke Tabelle ist lediglich eine Ausfüllhilfe.",IF(M3=TRUE,"Wenn eine Jahresreinigungsfläche für eine Reinigungsgruppe mit 0 angegeben ist, brauchen Sie den Leistungswert nicht auszufüllen. Es schadet aber nichts, wenn Sie es trotzdem tun.",IF(M4=TRUE,"Sie können in der Kalkulationstabelle (unten) in jedem einzelnen Raum die Leistungswerte (gelbe Zellen) beliebig oft individuell anpassen. Mit dem individuellen Überschreiben wird die Verknüpfung zu den Leistungswerten in der obigen Tabelle aufgehoben.",IF( M5=TRUE,"Die rot markierten Informationen sind auch lediglich eine Unterstützung. Sie erscheinen, wenn gelbe Zellen in dieser Tabelle oder in den Stundenverrechnungssätzen (SVS) nicht ausgefüllt sind. Wenn keine rote Schrift mehr da ist, ist alles vollständig.",""))))</f>
        <v/>
      </c>
      <c r="O2" s="192"/>
      <c r="P2" s="192"/>
      <c r="Q2" s="192"/>
    </row>
    <row r="3" spans="1:21" ht="21" customHeight="1" x14ac:dyDescent="0.2">
      <c r="A3" s="154" t="s">
        <v>178</v>
      </c>
      <c r="B3" s="155"/>
      <c r="C3" s="155"/>
      <c r="D3" s="155"/>
      <c r="E3" s="156"/>
      <c r="G3" s="221"/>
      <c r="H3" s="221" t="b">
        <v>0</v>
      </c>
      <c r="I3" s="221"/>
      <c r="J3" s="221"/>
      <c r="M3" s="23" t="b">
        <v>0</v>
      </c>
      <c r="N3" s="192"/>
      <c r="O3" s="192"/>
      <c r="P3" s="192"/>
      <c r="Q3" s="192"/>
    </row>
    <row r="4" spans="1:21" ht="15" customHeight="1" x14ac:dyDescent="0.2">
      <c r="A4" s="215" t="s">
        <v>91</v>
      </c>
      <c r="B4" s="225" t="str">
        <f>IF(Inhaltsverzeichnis!C3="","",Inhaltsverzeichnis!C3)</f>
        <v/>
      </c>
      <c r="C4" s="226"/>
      <c r="D4" s="226"/>
      <c r="E4" s="227"/>
      <c r="G4" s="153" t="s">
        <v>315</v>
      </c>
      <c r="H4" s="157"/>
      <c r="I4" s="158">
        <f ca="1">SUMIF('Kal Unter SchlossWest RZ'!J22:M38,$G$4,'Kal Unter SchlossWest RZ'!M22:M38)</f>
        <v>20372.020000000004</v>
      </c>
      <c r="J4" s="118">
        <f>COUNTIFS('Kal Unter SchlossWest RZ'!J22:M38,$G$4)</f>
        <v>9</v>
      </c>
      <c r="M4" s="23" t="b">
        <v>0</v>
      </c>
      <c r="N4" s="192"/>
      <c r="O4" s="192"/>
      <c r="P4" s="192"/>
      <c r="Q4" s="192"/>
      <c r="U4" s="153" t="s">
        <v>315</v>
      </c>
    </row>
    <row r="5" spans="1:21" ht="15" customHeight="1" x14ac:dyDescent="0.2">
      <c r="A5" s="216"/>
      <c r="B5" s="228"/>
      <c r="C5" s="229"/>
      <c r="D5" s="229"/>
      <c r="E5" s="230"/>
      <c r="G5" s="153" t="s">
        <v>310</v>
      </c>
      <c r="H5" s="157"/>
      <c r="I5" s="158">
        <f ca="1">SUMIF('Kal Unter SchlossWest RZ'!J22:M38,$G$5,'Kal Unter SchlossWest RZ'!M22:M38)</f>
        <v>3425.0200000000004</v>
      </c>
      <c r="J5" s="118">
        <f>COUNTIFS('Kal Unter SchlossWest RZ'!J22:M38,$G$5)</f>
        <v>4</v>
      </c>
      <c r="M5" s="23" t="b">
        <v>0</v>
      </c>
      <c r="N5" s="192"/>
      <c r="O5" s="192"/>
      <c r="P5" s="192"/>
      <c r="Q5" s="192"/>
      <c r="U5" s="153" t="s">
        <v>310</v>
      </c>
    </row>
    <row r="6" spans="1:21" ht="15" customHeight="1" x14ac:dyDescent="0.2">
      <c r="A6" s="159" t="s">
        <v>200</v>
      </c>
      <c r="B6" s="231" t="s">
        <v>245</v>
      </c>
      <c r="C6" s="232"/>
      <c r="D6" s="232"/>
      <c r="E6" s="233"/>
      <c r="G6" s="153" t="s">
        <v>313</v>
      </c>
      <c r="H6" s="157"/>
      <c r="I6" s="158">
        <f ca="1">SUMIF('Kal Unter SchlossWest RZ'!J22:M38,$G$6,'Kal Unter SchlossWest RZ'!M22:M38)</f>
        <v>14472.740000000002</v>
      </c>
      <c r="J6" s="118">
        <f>COUNTIFS('Kal Unter SchlossWest RZ'!J22:M38,$G$6)</f>
        <v>4</v>
      </c>
      <c r="U6" s="153" t="s">
        <v>313</v>
      </c>
    </row>
    <row r="7" spans="1:21" ht="15" customHeight="1" x14ac:dyDescent="0.2">
      <c r="A7" s="160" t="s">
        <v>198</v>
      </c>
      <c r="B7" s="234" t="s">
        <v>262</v>
      </c>
      <c r="C7" s="232"/>
      <c r="D7" s="232"/>
      <c r="E7" s="233"/>
    </row>
    <row r="8" spans="1:21" ht="15" customHeight="1" x14ac:dyDescent="0.2">
      <c r="A8" s="160" t="s">
        <v>199</v>
      </c>
      <c r="B8" s="231" t="s">
        <v>267</v>
      </c>
      <c r="C8" s="232"/>
      <c r="D8" s="232"/>
      <c r="E8" s="233"/>
    </row>
    <row r="9" spans="1:21" ht="15" customHeight="1" x14ac:dyDescent="0.2">
      <c r="A9" s="159" t="s">
        <v>197</v>
      </c>
      <c r="B9" s="235" t="s">
        <v>266</v>
      </c>
      <c r="C9" s="232"/>
      <c r="D9" s="232"/>
      <c r="E9" s="233"/>
    </row>
    <row r="10" spans="1:21" ht="15" customHeight="1" x14ac:dyDescent="0.2">
      <c r="A10" s="160" t="s">
        <v>179</v>
      </c>
      <c r="B10" s="231" t="s">
        <v>258</v>
      </c>
      <c r="C10" s="232"/>
      <c r="D10" s="232"/>
      <c r="E10" s="233"/>
    </row>
    <row r="11" spans="1:21" ht="15" customHeight="1" x14ac:dyDescent="0.2">
      <c r="A11" s="160" t="s">
        <v>180</v>
      </c>
      <c r="B11" s="236" t="s">
        <v>248</v>
      </c>
      <c r="C11" s="232"/>
      <c r="D11" s="232"/>
      <c r="E11" s="233"/>
    </row>
    <row r="12" spans="1:21" ht="15" customHeight="1" x14ac:dyDescent="0.2">
      <c r="A12" s="160" t="s">
        <v>181</v>
      </c>
      <c r="B12" s="231" t="s">
        <v>249</v>
      </c>
      <c r="C12" s="232"/>
      <c r="D12" s="232"/>
      <c r="E12" s="233"/>
    </row>
    <row r="13" spans="1:21" ht="15" customHeight="1" x14ac:dyDescent="0.2">
      <c r="A13" s="160" t="s">
        <v>184</v>
      </c>
      <c r="B13" s="222" t="str">
        <f>HYPERLINK("http://maps.google.de/maps?hl=de&amp;bav=on.2,or.r_qf.&amp;bvm=bv.44770516,d.Yms&amp;biw=1395&amp;bih=916&amp;um=1&amp;ie=UTF-8&amp;q="&amp;B7&amp;"+"&amp;B8&amp;"+"&amp;B10&amp;"+"&amp;B11&amp;"+"&amp;B12&amp;"","In Google-Maps anzeigen (wenn Internet verfügbar)")</f>
        <v>In Google-Maps anzeigen (wenn Internet verfügbar)</v>
      </c>
      <c r="C13" s="223"/>
      <c r="D13" s="223"/>
      <c r="E13" s="224"/>
    </row>
    <row r="14" spans="1:21" ht="15" customHeight="1" x14ac:dyDescent="0.2">
      <c r="T14" s="161">
        <f>IF(COUNTA($T$22:$T$38)-COUNTBLANK($T$22:$T$38)=0,"",COUNTA($T$22:$T$38)-COUNTBLANK($T$22:$T$38))</f>
        <v>17</v>
      </c>
    </row>
    <row r="15" spans="1:21" ht="15" hidden="1" customHeight="1" x14ac:dyDescent="0.2"/>
    <row r="16" spans="1:21" ht="15" hidden="1" customHeight="1" x14ac:dyDescent="0.2"/>
    <row r="17" spans="1:21" ht="15" hidden="1" customHeight="1" x14ac:dyDescent="0.2"/>
    <row r="18" spans="1:21" ht="15" hidden="1" customHeight="1" x14ac:dyDescent="0.2"/>
    <row r="19" spans="1:21" ht="15" hidden="1" customHeight="1" x14ac:dyDescent="0.2"/>
    <row r="20" spans="1:21" ht="45" customHeight="1" x14ac:dyDescent="0.2">
      <c r="A20" s="1" t="s">
        <v>92</v>
      </c>
      <c r="B20" s="1" t="s">
        <v>97</v>
      </c>
      <c r="C20" s="1" t="s">
        <v>93</v>
      </c>
      <c r="D20" s="1" t="s">
        <v>94</v>
      </c>
      <c r="E20" s="1" t="s">
        <v>98</v>
      </c>
      <c r="F20" s="1" t="s">
        <v>95</v>
      </c>
      <c r="G20" s="1" t="s">
        <v>121</v>
      </c>
      <c r="H20" s="1" t="s">
        <v>108</v>
      </c>
      <c r="I20" s="1" t="s">
        <v>109</v>
      </c>
      <c r="J20" s="1" t="s">
        <v>99</v>
      </c>
      <c r="K20" s="1" t="s">
        <v>106</v>
      </c>
      <c r="L20" s="1" t="s">
        <v>141</v>
      </c>
      <c r="M20" s="1" t="s">
        <v>111</v>
      </c>
      <c r="N20" s="1" t="s">
        <v>107</v>
      </c>
      <c r="O20" s="1" t="s">
        <v>112</v>
      </c>
      <c r="P20" s="1" t="s">
        <v>113</v>
      </c>
      <c r="Q20" s="1" t="s">
        <v>114</v>
      </c>
      <c r="R20" s="1" t="s">
        <v>201</v>
      </c>
      <c r="S20" s="1" t="s">
        <v>140</v>
      </c>
    </row>
    <row r="21" spans="1:21" ht="29.1" customHeight="1" x14ac:dyDescent="0.2">
      <c r="A21" s="162" t="s">
        <v>125</v>
      </c>
      <c r="B21" s="14"/>
      <c r="C21" s="14"/>
      <c r="D21" s="14"/>
      <c r="E21" s="14"/>
      <c r="F21" s="14"/>
      <c r="G21" s="163">
        <f>SUM($G$22:$G$38)</f>
        <v>264.19</v>
      </c>
      <c r="H21" s="163">
        <f>SUM($H$22:$H$38)</f>
        <v>0</v>
      </c>
      <c r="I21" s="163">
        <f>SUM($I$22:$I$38)</f>
        <v>0</v>
      </c>
      <c r="J21" s="95"/>
      <c r="K21" s="95"/>
      <c r="L21" s="164">
        <f>MAX(L22:L38)</f>
        <v>253.33</v>
      </c>
      <c r="M21" s="163">
        <f>SUM($M$22:$M$38)</f>
        <v>38269.780000000006</v>
      </c>
      <c r="N21" s="95"/>
      <c r="O21" s="95"/>
      <c r="P21" s="163">
        <f>SUM($P$22:$P$38)</f>
        <v>0</v>
      </c>
      <c r="Q21" s="163">
        <f ca="1">SUM($Q$22:$Q$38)</f>
        <v>0</v>
      </c>
      <c r="R21" s="163">
        <f>ROUND(IF(L21=0,0,P21/L21),2)</f>
        <v>0</v>
      </c>
      <c r="S21" s="163">
        <f ca="1">ROUND(IF(L21=0,0,Q21/L21),2)</f>
        <v>0</v>
      </c>
    </row>
    <row r="22" spans="1:21" ht="15" customHeight="1" x14ac:dyDescent="0.2">
      <c r="A22" s="153">
        <v>1</v>
      </c>
      <c r="B22" s="165"/>
      <c r="C22" s="166" t="s">
        <v>306</v>
      </c>
      <c r="D22" s="166" t="s">
        <v>265</v>
      </c>
      <c r="E22" s="166" t="s">
        <v>310</v>
      </c>
      <c r="F22" s="166" t="s">
        <v>280</v>
      </c>
      <c r="G22" s="167">
        <v>4.71</v>
      </c>
      <c r="H22" s="167"/>
      <c r="I22" s="167"/>
      <c r="J22" s="153" t="s">
        <v>310</v>
      </c>
      <c r="K22" s="167">
        <v>5</v>
      </c>
      <c r="L22" s="95">
        <f>VLOOKUP(K22,Reinigungstage!A10:J31,10,FALSE)</f>
        <v>253.33</v>
      </c>
      <c r="M22" s="95">
        <f t="shared" ref="M22:M38" si="0">ROUND(IF(L22=0,0,L22*G22),2)</f>
        <v>1193.18</v>
      </c>
      <c r="N22" s="168">
        <f t="shared" ref="N22:N38" si="1">VLOOKUP(J22,$G$4:$H$6,2,FALSE)</f>
        <v>0</v>
      </c>
      <c r="O22" s="95">
        <f ca="1">IF('SVS UnterhaltsRG'!H61="",0,'SVS UnterhaltsRG'!H61)</f>
        <v>0</v>
      </c>
      <c r="P22" s="95">
        <f t="shared" ref="P22:P38" si="2">ROUND(IF(N22=0,0,M22/N22),2)</f>
        <v>0</v>
      </c>
      <c r="Q22" s="95">
        <f t="shared" ref="Q22:Q38" ca="1" si="3">IF(M22=0,0,IF(O22="",0,ROUND(P22*O22,2)))</f>
        <v>0</v>
      </c>
      <c r="R22" s="95">
        <f t="shared" ref="R22:R38" si="4">ROUND(IF(P22=0,0,P22/L22),2)</f>
        <v>0</v>
      </c>
      <c r="S22" s="95">
        <f t="shared" ref="S22:S38" ca="1" si="5">ROUND(IF(Q22=0,0,Q22/L22),2)</f>
        <v>0</v>
      </c>
      <c r="T22" s="3" t="str">
        <f t="shared" ref="T22:T38" si="6">IF(M22=0,"",IF(N22=0,"Leistungswert eintragen",IF(O22=0,"SVS prüfen","")))</f>
        <v>Leistungswert eintragen</v>
      </c>
      <c r="U22" s="3">
        <f t="shared" ref="U22:U38" si="7">VLOOKUP(J22,$U$4:$V$6,2,FALSE)</f>
        <v>0</v>
      </c>
    </row>
    <row r="23" spans="1:21" ht="15" customHeight="1" x14ac:dyDescent="0.2">
      <c r="A23" s="153">
        <v>2</v>
      </c>
      <c r="B23" s="165"/>
      <c r="C23" s="166" t="s">
        <v>306</v>
      </c>
      <c r="D23" s="166" t="s">
        <v>265</v>
      </c>
      <c r="E23" s="166" t="s">
        <v>528</v>
      </c>
      <c r="F23" s="166" t="s">
        <v>280</v>
      </c>
      <c r="G23" s="167">
        <v>4.09</v>
      </c>
      <c r="H23" s="167"/>
      <c r="I23" s="167"/>
      <c r="J23" s="153" t="s">
        <v>310</v>
      </c>
      <c r="K23" s="167">
        <v>5</v>
      </c>
      <c r="L23" s="95">
        <f>VLOOKUP(K23,Reinigungstage!A10:J31,10,FALSE)</f>
        <v>253.33</v>
      </c>
      <c r="M23" s="95">
        <f t="shared" si="0"/>
        <v>1036.1199999999999</v>
      </c>
      <c r="N23" s="168">
        <f t="shared" si="1"/>
        <v>0</v>
      </c>
      <c r="O23" s="95">
        <f ca="1">IF('SVS UnterhaltsRG'!H61="",0,'SVS UnterhaltsRG'!H61)</f>
        <v>0</v>
      </c>
      <c r="P23" s="95">
        <f t="shared" si="2"/>
        <v>0</v>
      </c>
      <c r="Q23" s="95">
        <f t="shared" ca="1" si="3"/>
        <v>0</v>
      </c>
      <c r="R23" s="95">
        <f t="shared" si="4"/>
        <v>0</v>
      </c>
      <c r="S23" s="95">
        <f t="shared" ca="1" si="5"/>
        <v>0</v>
      </c>
      <c r="T23" s="3" t="str">
        <f t="shared" si="6"/>
        <v>Leistungswert eintragen</v>
      </c>
      <c r="U23" s="3">
        <f t="shared" si="7"/>
        <v>0</v>
      </c>
    </row>
    <row r="24" spans="1:21" ht="15" customHeight="1" x14ac:dyDescent="0.2">
      <c r="A24" s="153">
        <v>3</v>
      </c>
      <c r="B24" s="165"/>
      <c r="C24" s="166" t="s">
        <v>306</v>
      </c>
      <c r="D24" s="166" t="s">
        <v>265</v>
      </c>
      <c r="E24" s="166" t="s">
        <v>529</v>
      </c>
      <c r="F24" s="166" t="s">
        <v>480</v>
      </c>
      <c r="G24" s="167">
        <v>22.34</v>
      </c>
      <c r="H24" s="167"/>
      <c r="I24" s="167"/>
      <c r="J24" s="153" t="s">
        <v>315</v>
      </c>
      <c r="K24" s="167">
        <v>2</v>
      </c>
      <c r="L24" s="95">
        <f>VLOOKUP(K24,Reinigungstage!A10:J31,10,FALSE)</f>
        <v>105.26</v>
      </c>
      <c r="M24" s="95">
        <f t="shared" si="0"/>
        <v>2351.5100000000002</v>
      </c>
      <c r="N24" s="168">
        <f t="shared" si="1"/>
        <v>0</v>
      </c>
      <c r="O24" s="95">
        <f ca="1">IF('SVS UnterhaltsRG'!H61="",0,'SVS UnterhaltsRG'!H61)</f>
        <v>0</v>
      </c>
      <c r="P24" s="95">
        <f t="shared" si="2"/>
        <v>0</v>
      </c>
      <c r="Q24" s="95">
        <f t="shared" ca="1" si="3"/>
        <v>0</v>
      </c>
      <c r="R24" s="95">
        <f t="shared" si="4"/>
        <v>0</v>
      </c>
      <c r="S24" s="95">
        <f t="shared" ca="1" si="5"/>
        <v>0</v>
      </c>
      <c r="T24" s="3" t="str">
        <f t="shared" si="6"/>
        <v>Leistungswert eintragen</v>
      </c>
      <c r="U24" s="3">
        <f t="shared" si="7"/>
        <v>0</v>
      </c>
    </row>
    <row r="25" spans="1:21" ht="15" customHeight="1" x14ac:dyDescent="0.2">
      <c r="A25" s="153">
        <v>4</v>
      </c>
      <c r="B25" s="165"/>
      <c r="C25" s="166" t="s">
        <v>306</v>
      </c>
      <c r="D25" s="166" t="s">
        <v>265</v>
      </c>
      <c r="E25" s="166" t="s">
        <v>530</v>
      </c>
      <c r="F25" s="166" t="s">
        <v>480</v>
      </c>
      <c r="G25" s="167">
        <v>16.5</v>
      </c>
      <c r="H25" s="167"/>
      <c r="I25" s="167"/>
      <c r="J25" s="153" t="s">
        <v>315</v>
      </c>
      <c r="K25" s="167">
        <v>2</v>
      </c>
      <c r="L25" s="95">
        <f>VLOOKUP(K25,Reinigungstage!A10:J31,10,FALSE)</f>
        <v>105.26</v>
      </c>
      <c r="M25" s="95">
        <f t="shared" si="0"/>
        <v>1736.79</v>
      </c>
      <c r="N25" s="168">
        <f t="shared" si="1"/>
        <v>0</v>
      </c>
      <c r="O25" s="95">
        <f ca="1">IF('SVS UnterhaltsRG'!H61="",0,'SVS UnterhaltsRG'!H61)</f>
        <v>0</v>
      </c>
      <c r="P25" s="95">
        <f t="shared" si="2"/>
        <v>0</v>
      </c>
      <c r="Q25" s="95">
        <f t="shared" ca="1" si="3"/>
        <v>0</v>
      </c>
      <c r="R25" s="95">
        <f t="shared" si="4"/>
        <v>0</v>
      </c>
      <c r="S25" s="95">
        <f t="shared" ca="1" si="5"/>
        <v>0</v>
      </c>
      <c r="T25" s="3" t="str">
        <f t="shared" si="6"/>
        <v>Leistungswert eintragen</v>
      </c>
      <c r="U25" s="3">
        <f t="shared" si="7"/>
        <v>0</v>
      </c>
    </row>
    <row r="26" spans="1:21" ht="15" customHeight="1" x14ac:dyDescent="0.2">
      <c r="A26" s="153">
        <v>5</v>
      </c>
      <c r="B26" s="165"/>
      <c r="C26" s="166" t="s">
        <v>306</v>
      </c>
      <c r="D26" s="166" t="s">
        <v>265</v>
      </c>
      <c r="E26" s="166" t="s">
        <v>531</v>
      </c>
      <c r="F26" s="166" t="s">
        <v>480</v>
      </c>
      <c r="G26" s="167">
        <v>16.350000000000001</v>
      </c>
      <c r="H26" s="167"/>
      <c r="I26" s="167"/>
      <c r="J26" s="153" t="s">
        <v>315</v>
      </c>
      <c r="K26" s="167">
        <v>2</v>
      </c>
      <c r="L26" s="95">
        <f>VLOOKUP(K26,Reinigungstage!A10:J31,10,FALSE)</f>
        <v>105.26</v>
      </c>
      <c r="M26" s="95">
        <f t="shared" si="0"/>
        <v>1721</v>
      </c>
      <c r="N26" s="168">
        <f t="shared" si="1"/>
        <v>0</v>
      </c>
      <c r="O26" s="95">
        <f ca="1">IF('SVS UnterhaltsRG'!H61="",0,'SVS UnterhaltsRG'!H61)</f>
        <v>0</v>
      </c>
      <c r="P26" s="95">
        <f t="shared" si="2"/>
        <v>0</v>
      </c>
      <c r="Q26" s="95">
        <f t="shared" ca="1" si="3"/>
        <v>0</v>
      </c>
      <c r="R26" s="95">
        <f t="shared" si="4"/>
        <v>0</v>
      </c>
      <c r="S26" s="95">
        <f t="shared" ca="1" si="5"/>
        <v>0</v>
      </c>
      <c r="T26" s="3" t="str">
        <f t="shared" si="6"/>
        <v>Leistungswert eintragen</v>
      </c>
      <c r="U26" s="3">
        <f t="shared" si="7"/>
        <v>0</v>
      </c>
    </row>
    <row r="27" spans="1:21" ht="15" customHeight="1" x14ac:dyDescent="0.2">
      <c r="A27" s="153">
        <v>6</v>
      </c>
      <c r="B27" s="165"/>
      <c r="C27" s="166" t="s">
        <v>306</v>
      </c>
      <c r="D27" s="166" t="s">
        <v>265</v>
      </c>
      <c r="E27" s="166" t="s">
        <v>396</v>
      </c>
      <c r="F27" s="166" t="s">
        <v>480</v>
      </c>
      <c r="G27" s="167">
        <v>25.58</v>
      </c>
      <c r="H27" s="167"/>
      <c r="I27" s="167"/>
      <c r="J27" s="153" t="s">
        <v>315</v>
      </c>
      <c r="K27" s="167">
        <v>2</v>
      </c>
      <c r="L27" s="95">
        <f>VLOOKUP(K27,Reinigungstage!A10:J31,10,FALSE)</f>
        <v>105.26</v>
      </c>
      <c r="M27" s="95">
        <f t="shared" si="0"/>
        <v>2692.55</v>
      </c>
      <c r="N27" s="168">
        <f t="shared" si="1"/>
        <v>0</v>
      </c>
      <c r="O27" s="95">
        <f ca="1">IF('SVS UnterhaltsRG'!H61="",0,'SVS UnterhaltsRG'!H61)</f>
        <v>0</v>
      </c>
      <c r="P27" s="95">
        <f t="shared" si="2"/>
        <v>0</v>
      </c>
      <c r="Q27" s="95">
        <f t="shared" ca="1" si="3"/>
        <v>0</v>
      </c>
      <c r="R27" s="95">
        <f t="shared" si="4"/>
        <v>0</v>
      </c>
      <c r="S27" s="95">
        <f t="shared" ca="1" si="5"/>
        <v>0</v>
      </c>
      <c r="T27" s="3" t="str">
        <f t="shared" si="6"/>
        <v>Leistungswert eintragen</v>
      </c>
      <c r="U27" s="3">
        <f t="shared" si="7"/>
        <v>0</v>
      </c>
    </row>
    <row r="28" spans="1:21" ht="15" customHeight="1" x14ac:dyDescent="0.2">
      <c r="A28" s="153">
        <v>7</v>
      </c>
      <c r="B28" s="165"/>
      <c r="C28" s="166" t="s">
        <v>306</v>
      </c>
      <c r="D28" s="166" t="s">
        <v>265</v>
      </c>
      <c r="E28" s="166" t="s">
        <v>396</v>
      </c>
      <c r="F28" s="166" t="s">
        <v>480</v>
      </c>
      <c r="G28" s="167">
        <v>14.74</v>
      </c>
      <c r="H28" s="167"/>
      <c r="I28" s="167"/>
      <c r="J28" s="153" t="s">
        <v>315</v>
      </c>
      <c r="K28" s="167">
        <v>2</v>
      </c>
      <c r="L28" s="95">
        <f>VLOOKUP(K28,Reinigungstage!A10:J31,10,FALSE)</f>
        <v>105.26</v>
      </c>
      <c r="M28" s="95">
        <f t="shared" si="0"/>
        <v>1551.53</v>
      </c>
      <c r="N28" s="168">
        <f t="shared" si="1"/>
        <v>0</v>
      </c>
      <c r="O28" s="95">
        <f ca="1">IF('SVS UnterhaltsRG'!H61="",0,'SVS UnterhaltsRG'!H61)</f>
        <v>0</v>
      </c>
      <c r="P28" s="95">
        <f t="shared" si="2"/>
        <v>0</v>
      </c>
      <c r="Q28" s="95">
        <f t="shared" ca="1" si="3"/>
        <v>0</v>
      </c>
      <c r="R28" s="95">
        <f t="shared" si="4"/>
        <v>0</v>
      </c>
      <c r="S28" s="95">
        <f t="shared" ca="1" si="5"/>
        <v>0</v>
      </c>
      <c r="T28" s="3" t="str">
        <f t="shared" si="6"/>
        <v>Leistungswert eintragen</v>
      </c>
      <c r="U28" s="3">
        <f t="shared" si="7"/>
        <v>0</v>
      </c>
    </row>
    <row r="29" spans="1:21" ht="15" customHeight="1" x14ac:dyDescent="0.2">
      <c r="A29" s="153">
        <v>8</v>
      </c>
      <c r="B29" s="165"/>
      <c r="C29" s="166" t="s">
        <v>306</v>
      </c>
      <c r="D29" s="166" t="s">
        <v>265</v>
      </c>
      <c r="E29" s="166" t="s">
        <v>396</v>
      </c>
      <c r="F29" s="166" t="s">
        <v>480</v>
      </c>
      <c r="G29" s="167">
        <v>19.489999999999998</v>
      </c>
      <c r="H29" s="167"/>
      <c r="I29" s="167"/>
      <c r="J29" s="153" t="s">
        <v>315</v>
      </c>
      <c r="K29" s="167">
        <v>2</v>
      </c>
      <c r="L29" s="95">
        <f>VLOOKUP(K29,Reinigungstage!A10:J31,10,FALSE)</f>
        <v>105.26</v>
      </c>
      <c r="M29" s="95">
        <f t="shared" si="0"/>
        <v>2051.52</v>
      </c>
      <c r="N29" s="168">
        <f t="shared" si="1"/>
        <v>0</v>
      </c>
      <c r="O29" s="95">
        <f ca="1">IF('SVS UnterhaltsRG'!H61="",0,'SVS UnterhaltsRG'!H61)</f>
        <v>0</v>
      </c>
      <c r="P29" s="95">
        <f t="shared" si="2"/>
        <v>0</v>
      </c>
      <c r="Q29" s="95">
        <f t="shared" ca="1" si="3"/>
        <v>0</v>
      </c>
      <c r="R29" s="95">
        <f t="shared" si="4"/>
        <v>0</v>
      </c>
      <c r="S29" s="95">
        <f t="shared" ca="1" si="5"/>
        <v>0</v>
      </c>
      <c r="T29" s="3" t="str">
        <f t="shared" si="6"/>
        <v>Leistungswert eintragen</v>
      </c>
      <c r="U29" s="3">
        <f t="shared" si="7"/>
        <v>0</v>
      </c>
    </row>
    <row r="30" spans="1:21" ht="15" customHeight="1" x14ac:dyDescent="0.2">
      <c r="A30" s="153">
        <v>9</v>
      </c>
      <c r="B30" s="165"/>
      <c r="C30" s="166" t="s">
        <v>306</v>
      </c>
      <c r="D30" s="166" t="s">
        <v>265</v>
      </c>
      <c r="E30" s="166" t="s">
        <v>532</v>
      </c>
      <c r="F30" s="166" t="s">
        <v>480</v>
      </c>
      <c r="G30" s="167">
        <v>16.059999999999999</v>
      </c>
      <c r="H30" s="167"/>
      <c r="I30" s="167"/>
      <c r="J30" s="153" t="s">
        <v>313</v>
      </c>
      <c r="K30" s="167">
        <v>5</v>
      </c>
      <c r="L30" s="95">
        <f>VLOOKUP(K30,Reinigungstage!A10:J31,10,FALSE)</f>
        <v>253.33</v>
      </c>
      <c r="M30" s="95">
        <f t="shared" si="0"/>
        <v>4068.48</v>
      </c>
      <c r="N30" s="168">
        <f t="shared" si="1"/>
        <v>0</v>
      </c>
      <c r="O30" s="95">
        <f ca="1">IF('SVS UnterhaltsRG'!H61="",0,'SVS UnterhaltsRG'!H61)</f>
        <v>0</v>
      </c>
      <c r="P30" s="95">
        <f t="shared" si="2"/>
        <v>0</v>
      </c>
      <c r="Q30" s="95">
        <f t="shared" ca="1" si="3"/>
        <v>0</v>
      </c>
      <c r="R30" s="95">
        <f t="shared" si="4"/>
        <v>0</v>
      </c>
      <c r="S30" s="95">
        <f t="shared" ca="1" si="5"/>
        <v>0</v>
      </c>
      <c r="T30" s="3" t="str">
        <f t="shared" si="6"/>
        <v>Leistungswert eintragen</v>
      </c>
      <c r="U30" s="3">
        <f t="shared" si="7"/>
        <v>0</v>
      </c>
    </row>
    <row r="31" spans="1:21" ht="15" customHeight="1" x14ac:dyDescent="0.2">
      <c r="A31" s="153">
        <v>10</v>
      </c>
      <c r="B31" s="165"/>
      <c r="C31" s="166" t="s">
        <v>306</v>
      </c>
      <c r="D31" s="166" t="s">
        <v>265</v>
      </c>
      <c r="E31" s="166" t="s">
        <v>396</v>
      </c>
      <c r="F31" s="166" t="s">
        <v>480</v>
      </c>
      <c r="G31" s="167">
        <v>24.03</v>
      </c>
      <c r="H31" s="167"/>
      <c r="I31" s="167"/>
      <c r="J31" s="153" t="s">
        <v>315</v>
      </c>
      <c r="K31" s="167">
        <v>2</v>
      </c>
      <c r="L31" s="95">
        <f>VLOOKUP(K31,Reinigungstage!A10:J31,10,FALSE)</f>
        <v>105.26</v>
      </c>
      <c r="M31" s="95">
        <f t="shared" si="0"/>
        <v>2529.4</v>
      </c>
      <c r="N31" s="168">
        <f t="shared" si="1"/>
        <v>0</v>
      </c>
      <c r="O31" s="95">
        <f ca="1">IF('SVS UnterhaltsRG'!H61="",0,'SVS UnterhaltsRG'!H61)</f>
        <v>0</v>
      </c>
      <c r="P31" s="95">
        <f t="shared" si="2"/>
        <v>0</v>
      </c>
      <c r="Q31" s="95">
        <f t="shared" ca="1" si="3"/>
        <v>0</v>
      </c>
      <c r="R31" s="95">
        <f t="shared" si="4"/>
        <v>0</v>
      </c>
      <c r="S31" s="95">
        <f t="shared" ca="1" si="5"/>
        <v>0</v>
      </c>
      <c r="T31" s="3" t="str">
        <f t="shared" si="6"/>
        <v>Leistungswert eintragen</v>
      </c>
      <c r="U31" s="3">
        <f t="shared" si="7"/>
        <v>0</v>
      </c>
    </row>
    <row r="32" spans="1:21" ht="15" customHeight="1" x14ac:dyDescent="0.2">
      <c r="A32" s="153">
        <v>11</v>
      </c>
      <c r="B32" s="165"/>
      <c r="C32" s="166" t="s">
        <v>306</v>
      </c>
      <c r="D32" s="166" t="s">
        <v>265</v>
      </c>
      <c r="E32" s="166" t="s">
        <v>396</v>
      </c>
      <c r="F32" s="166" t="s">
        <v>480</v>
      </c>
      <c r="G32" s="167">
        <v>12.35</v>
      </c>
      <c r="H32" s="167"/>
      <c r="I32" s="167"/>
      <c r="J32" s="153" t="s">
        <v>315</v>
      </c>
      <c r="K32" s="167">
        <v>2</v>
      </c>
      <c r="L32" s="95">
        <f>VLOOKUP(K32,Reinigungstage!A10:J31,10,FALSE)</f>
        <v>105.26</v>
      </c>
      <c r="M32" s="95">
        <f t="shared" si="0"/>
        <v>1299.96</v>
      </c>
      <c r="N32" s="168">
        <f t="shared" si="1"/>
        <v>0</v>
      </c>
      <c r="O32" s="95">
        <f ca="1">IF('SVS UnterhaltsRG'!H61="",0,'SVS UnterhaltsRG'!H61)</f>
        <v>0</v>
      </c>
      <c r="P32" s="95">
        <f t="shared" si="2"/>
        <v>0</v>
      </c>
      <c r="Q32" s="95">
        <f t="shared" ca="1" si="3"/>
        <v>0</v>
      </c>
      <c r="R32" s="95">
        <f t="shared" si="4"/>
        <v>0</v>
      </c>
      <c r="S32" s="95">
        <f t="shared" ca="1" si="5"/>
        <v>0</v>
      </c>
      <c r="T32" s="3" t="str">
        <f t="shared" si="6"/>
        <v>Leistungswert eintragen</v>
      </c>
      <c r="U32" s="3">
        <f t="shared" si="7"/>
        <v>0</v>
      </c>
    </row>
    <row r="33" spans="1:21" ht="15" customHeight="1" x14ac:dyDescent="0.2">
      <c r="A33" s="153">
        <v>12</v>
      </c>
      <c r="B33" s="165"/>
      <c r="C33" s="166" t="s">
        <v>306</v>
      </c>
      <c r="D33" s="166" t="s">
        <v>265</v>
      </c>
      <c r="E33" s="166" t="s">
        <v>533</v>
      </c>
      <c r="F33" s="166" t="s">
        <v>480</v>
      </c>
      <c r="G33" s="167">
        <v>13.56</v>
      </c>
      <c r="H33" s="167"/>
      <c r="I33" s="167"/>
      <c r="J33" s="153" t="s">
        <v>313</v>
      </c>
      <c r="K33" s="167">
        <v>5</v>
      </c>
      <c r="L33" s="95">
        <f>VLOOKUP(K33,Reinigungstage!A10:J31,10,FALSE)</f>
        <v>253.33</v>
      </c>
      <c r="M33" s="95">
        <f t="shared" si="0"/>
        <v>3435.15</v>
      </c>
      <c r="N33" s="168">
        <f t="shared" si="1"/>
        <v>0</v>
      </c>
      <c r="O33" s="95">
        <f ca="1">IF('SVS UnterhaltsRG'!H61="",0,'SVS UnterhaltsRG'!H61)</f>
        <v>0</v>
      </c>
      <c r="P33" s="95">
        <f t="shared" si="2"/>
        <v>0</v>
      </c>
      <c r="Q33" s="95">
        <f t="shared" ca="1" si="3"/>
        <v>0</v>
      </c>
      <c r="R33" s="95">
        <f t="shared" si="4"/>
        <v>0</v>
      </c>
      <c r="S33" s="95">
        <f t="shared" ca="1" si="5"/>
        <v>0</v>
      </c>
      <c r="T33" s="3" t="str">
        <f t="shared" si="6"/>
        <v>Leistungswert eintragen</v>
      </c>
      <c r="U33" s="3">
        <f t="shared" si="7"/>
        <v>0</v>
      </c>
    </row>
    <row r="34" spans="1:21" ht="15" customHeight="1" x14ac:dyDescent="0.2">
      <c r="A34" s="153">
        <v>13</v>
      </c>
      <c r="B34" s="165"/>
      <c r="C34" s="166" t="s">
        <v>316</v>
      </c>
      <c r="D34" s="166" t="s">
        <v>265</v>
      </c>
      <c r="E34" s="166" t="s">
        <v>534</v>
      </c>
      <c r="F34" s="166" t="s">
        <v>280</v>
      </c>
      <c r="G34" s="167">
        <v>2.33</v>
      </c>
      <c r="H34" s="167"/>
      <c r="I34" s="167"/>
      <c r="J34" s="153" t="s">
        <v>310</v>
      </c>
      <c r="K34" s="167">
        <v>5</v>
      </c>
      <c r="L34" s="95">
        <f>VLOOKUP(K34,Reinigungstage!A10:J31,10,FALSE)</f>
        <v>253.33</v>
      </c>
      <c r="M34" s="95">
        <f t="shared" si="0"/>
        <v>590.26</v>
      </c>
      <c r="N34" s="168">
        <f t="shared" si="1"/>
        <v>0</v>
      </c>
      <c r="O34" s="95">
        <f ca="1">IF('SVS UnterhaltsRG'!H61="",0,'SVS UnterhaltsRG'!H61)</f>
        <v>0</v>
      </c>
      <c r="P34" s="95">
        <f t="shared" si="2"/>
        <v>0</v>
      </c>
      <c r="Q34" s="95">
        <f t="shared" ca="1" si="3"/>
        <v>0</v>
      </c>
      <c r="R34" s="95">
        <f t="shared" si="4"/>
        <v>0</v>
      </c>
      <c r="S34" s="95">
        <f t="shared" ca="1" si="5"/>
        <v>0</v>
      </c>
      <c r="T34" s="3" t="str">
        <f t="shared" si="6"/>
        <v>Leistungswert eintragen</v>
      </c>
      <c r="U34" s="3">
        <f t="shared" si="7"/>
        <v>0</v>
      </c>
    </row>
    <row r="35" spans="1:21" ht="15" customHeight="1" x14ac:dyDescent="0.2">
      <c r="A35" s="153">
        <v>14</v>
      </c>
      <c r="B35" s="165"/>
      <c r="C35" s="166" t="s">
        <v>316</v>
      </c>
      <c r="D35" s="166" t="s">
        <v>265</v>
      </c>
      <c r="E35" s="166" t="s">
        <v>288</v>
      </c>
      <c r="F35" s="166" t="s">
        <v>480</v>
      </c>
      <c r="G35" s="167">
        <v>9.7799999999999994</v>
      </c>
      <c r="H35" s="167"/>
      <c r="I35" s="167"/>
      <c r="J35" s="153" t="s">
        <v>313</v>
      </c>
      <c r="K35" s="167">
        <v>5</v>
      </c>
      <c r="L35" s="95">
        <f>VLOOKUP(K35,Reinigungstage!A10:J31,10,FALSE)</f>
        <v>253.33</v>
      </c>
      <c r="M35" s="95">
        <f t="shared" si="0"/>
        <v>2477.5700000000002</v>
      </c>
      <c r="N35" s="168">
        <f t="shared" si="1"/>
        <v>0</v>
      </c>
      <c r="O35" s="95">
        <f ca="1">IF('SVS UnterhaltsRG'!H61="",0,'SVS UnterhaltsRG'!H61)</f>
        <v>0</v>
      </c>
      <c r="P35" s="95">
        <f t="shared" si="2"/>
        <v>0</v>
      </c>
      <c r="Q35" s="95">
        <f t="shared" ca="1" si="3"/>
        <v>0</v>
      </c>
      <c r="R35" s="95">
        <f t="shared" si="4"/>
        <v>0</v>
      </c>
      <c r="S35" s="95">
        <f t="shared" ca="1" si="5"/>
        <v>0</v>
      </c>
      <c r="T35" s="3" t="str">
        <f t="shared" si="6"/>
        <v>Leistungswert eintragen</v>
      </c>
      <c r="U35" s="3">
        <f t="shared" si="7"/>
        <v>0</v>
      </c>
    </row>
    <row r="36" spans="1:21" ht="15" customHeight="1" x14ac:dyDescent="0.2">
      <c r="A36" s="153">
        <v>15</v>
      </c>
      <c r="B36" s="165"/>
      <c r="C36" s="166" t="s">
        <v>316</v>
      </c>
      <c r="D36" s="166" t="s">
        <v>265</v>
      </c>
      <c r="E36" s="166" t="s">
        <v>396</v>
      </c>
      <c r="F36" s="166" t="s">
        <v>480</v>
      </c>
      <c r="G36" s="167">
        <v>42.16</v>
      </c>
      <c r="H36" s="167"/>
      <c r="I36" s="167"/>
      <c r="J36" s="153" t="s">
        <v>315</v>
      </c>
      <c r="K36" s="167">
        <v>2</v>
      </c>
      <c r="L36" s="95">
        <f>VLOOKUP(K36,Reinigungstage!A10:J31,10,FALSE)</f>
        <v>105.26</v>
      </c>
      <c r="M36" s="95">
        <f t="shared" si="0"/>
        <v>4437.76</v>
      </c>
      <c r="N36" s="168">
        <f t="shared" si="1"/>
        <v>0</v>
      </c>
      <c r="O36" s="95">
        <f ca="1">IF('SVS UnterhaltsRG'!H61="",0,'SVS UnterhaltsRG'!H61)</f>
        <v>0</v>
      </c>
      <c r="P36" s="95">
        <f t="shared" si="2"/>
        <v>0</v>
      </c>
      <c r="Q36" s="95">
        <f t="shared" ca="1" si="3"/>
        <v>0</v>
      </c>
      <c r="R36" s="95">
        <f t="shared" si="4"/>
        <v>0</v>
      </c>
      <c r="S36" s="95">
        <f t="shared" ca="1" si="5"/>
        <v>0</v>
      </c>
      <c r="T36" s="3" t="str">
        <f t="shared" si="6"/>
        <v>Leistungswert eintragen</v>
      </c>
      <c r="U36" s="3">
        <f t="shared" si="7"/>
        <v>0</v>
      </c>
    </row>
    <row r="37" spans="1:21" ht="15" customHeight="1" x14ac:dyDescent="0.2">
      <c r="A37" s="153">
        <v>16</v>
      </c>
      <c r="B37" s="165"/>
      <c r="C37" s="166" t="s">
        <v>316</v>
      </c>
      <c r="D37" s="166" t="s">
        <v>265</v>
      </c>
      <c r="E37" s="166" t="s">
        <v>532</v>
      </c>
      <c r="F37" s="166" t="s">
        <v>480</v>
      </c>
      <c r="G37" s="167">
        <v>17.73</v>
      </c>
      <c r="H37" s="167"/>
      <c r="I37" s="167"/>
      <c r="J37" s="153" t="s">
        <v>313</v>
      </c>
      <c r="K37" s="167">
        <v>5</v>
      </c>
      <c r="L37" s="95">
        <f>VLOOKUP(K37,Reinigungstage!A10:J31,10,FALSE)</f>
        <v>253.33</v>
      </c>
      <c r="M37" s="95">
        <f t="shared" si="0"/>
        <v>4491.54</v>
      </c>
      <c r="N37" s="168">
        <f t="shared" si="1"/>
        <v>0</v>
      </c>
      <c r="O37" s="95">
        <f ca="1">IF('SVS UnterhaltsRG'!H61="",0,'SVS UnterhaltsRG'!H61)</f>
        <v>0</v>
      </c>
      <c r="P37" s="95">
        <f t="shared" si="2"/>
        <v>0</v>
      </c>
      <c r="Q37" s="95">
        <f t="shared" ca="1" si="3"/>
        <v>0</v>
      </c>
      <c r="R37" s="95">
        <f t="shared" si="4"/>
        <v>0</v>
      </c>
      <c r="S37" s="95">
        <f t="shared" ca="1" si="5"/>
        <v>0</v>
      </c>
      <c r="T37" s="3" t="str">
        <f t="shared" si="6"/>
        <v>Leistungswert eintragen</v>
      </c>
      <c r="U37" s="3">
        <f t="shared" si="7"/>
        <v>0</v>
      </c>
    </row>
    <row r="38" spans="1:21" ht="15" customHeight="1" x14ac:dyDescent="0.2">
      <c r="A38" s="153">
        <v>17</v>
      </c>
      <c r="B38" s="165"/>
      <c r="C38" s="166" t="s">
        <v>316</v>
      </c>
      <c r="D38" s="166" t="s">
        <v>265</v>
      </c>
      <c r="E38" s="166" t="s">
        <v>535</v>
      </c>
      <c r="F38" s="166" t="s">
        <v>280</v>
      </c>
      <c r="G38" s="167">
        <v>2.39</v>
      </c>
      <c r="H38" s="167"/>
      <c r="I38" s="167"/>
      <c r="J38" s="153" t="s">
        <v>310</v>
      </c>
      <c r="K38" s="167">
        <v>5</v>
      </c>
      <c r="L38" s="95">
        <f>VLOOKUP(K38,Reinigungstage!A10:J31,10,FALSE)</f>
        <v>253.33</v>
      </c>
      <c r="M38" s="95">
        <f t="shared" si="0"/>
        <v>605.46</v>
      </c>
      <c r="N38" s="168">
        <f t="shared" si="1"/>
        <v>0</v>
      </c>
      <c r="O38" s="95">
        <f ca="1">IF('SVS UnterhaltsRG'!H61="",0,'SVS UnterhaltsRG'!H61)</f>
        <v>0</v>
      </c>
      <c r="P38" s="95">
        <f t="shared" si="2"/>
        <v>0</v>
      </c>
      <c r="Q38" s="95">
        <f t="shared" ca="1" si="3"/>
        <v>0</v>
      </c>
      <c r="R38" s="95">
        <f t="shared" si="4"/>
        <v>0</v>
      </c>
      <c r="S38" s="95">
        <f t="shared" ca="1" si="5"/>
        <v>0</v>
      </c>
      <c r="T38" s="3" t="str">
        <f t="shared" si="6"/>
        <v>Leistungswert eintragen</v>
      </c>
      <c r="U38" s="3">
        <f t="shared" si="7"/>
        <v>0</v>
      </c>
    </row>
  </sheetData>
  <sheetProtection algorithmName="SHA-512" hashValue="rSErKmEgX8o2ys+LduQZ3x+ea2mJmDX8nKQE8bh6XQ0AjsFnCP5Lg6PpMLNTSooGTLWq44KfdMaURa+f/0BJXQ==" saltValue="zcT+VBAndZPePK4zwDsR6w==" spinCount="100000" sheet="1" objects="1" scenarios="1"/>
  <sortState xmlns:xlrd2="http://schemas.microsoft.com/office/spreadsheetml/2017/richdata2" ref="U4:U6">
    <sortCondition ref="U4"/>
  </sortState>
  <mergeCells count="16">
    <mergeCell ref="B13:E13"/>
    <mergeCell ref="B4:E5"/>
    <mergeCell ref="B6:E6"/>
    <mergeCell ref="B7:E7"/>
    <mergeCell ref="B8:E8"/>
    <mergeCell ref="B9:E9"/>
    <mergeCell ref="B10:E10"/>
    <mergeCell ref="B11:E11"/>
    <mergeCell ref="B12:E12"/>
    <mergeCell ref="N2:Q5"/>
    <mergeCell ref="A4:A5"/>
    <mergeCell ref="A2:E2"/>
    <mergeCell ref="G2:G3"/>
    <mergeCell ref="H2:H3"/>
    <mergeCell ref="I2:I3"/>
    <mergeCell ref="J2:J3"/>
  </mergeCells>
  <conditionalFormatting sqref="T22:T38">
    <cfRule type="containsText" dxfId="108" priority="1" stopIfTrue="1" operator="containsText" text="SVS prüfen">
      <formula>NOT(ISERROR(SEARCH("SVS prüfen",T22)))</formula>
    </cfRule>
    <cfRule type="containsText" dxfId="107" priority="2" stopIfTrue="1" operator="containsText" text="Leistungswert eintragen">
      <formula>NOT(ISERROR(SEARCH("Leistungswert eintragen",T22)))</formula>
    </cfRule>
  </conditionalFormatting>
  <hyperlinks>
    <hyperlink ref="M1" location="Inhaltsverzeichnis!A1" display="Zurück zum Inhaltsverzeichnis" xr:uid="{76325138-25A3-435C-9B53-C1AEFBA5E661}"/>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&amp;RKal Unter SchlossWest RZ&amp;LStadt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sizeWithCells="1">
                  <from>
                    <xdr:col>12</xdr:col>
                    <xdr:colOff>19050</xdr:colOff>
                    <xdr:row>1</xdr:row>
                    <xdr:rowOff>38100</xdr:rowOff>
                  </from>
                  <to>
                    <xdr:col>12</xdr:col>
                    <xdr:colOff>809625</xdr:colOff>
                    <xdr:row>2</xdr:row>
                    <xdr:rowOff>19050</xdr:rowOff>
                  </to>
                </anchor>
              </controlPr>
            </control>
          </mc:Choice>
        </mc:AlternateContent>
        <mc:AlternateContent xmlns:mc="http://schemas.openxmlformats.org/markup-compatibility/2006">
          <mc:Choice Requires="x14">
            <control shapeId="97282" r:id="rId5" name="Check Box 2">
              <controlPr defaultSize="0" autoFill="0" autoLine="0" autoPict="0" altText="Hinweis 2">
                <anchor moveWithCells="1" sizeWithCells="1">
                  <from>
                    <xdr:col>12</xdr:col>
                    <xdr:colOff>19050</xdr:colOff>
                    <xdr:row>2</xdr:row>
                    <xdr:rowOff>19050</xdr:rowOff>
                  </from>
                  <to>
                    <xdr:col>12</xdr:col>
                    <xdr:colOff>809625</xdr:colOff>
                    <xdr:row>2</xdr:row>
                    <xdr:rowOff>266700</xdr:rowOff>
                  </to>
                </anchor>
              </controlPr>
            </control>
          </mc:Choice>
        </mc:AlternateContent>
        <mc:AlternateContent xmlns:mc="http://schemas.openxmlformats.org/markup-compatibility/2006">
          <mc:Choice Requires="x14">
            <control shapeId="97283" r:id="rId6" name="Check Box 3">
              <controlPr defaultSize="0" autoFill="0" autoLine="0" autoPict="0" altText="Hinweis 3">
                <anchor moveWithCells="1" sizeWithCells="1">
                  <from>
                    <xdr:col>12</xdr:col>
                    <xdr:colOff>19050</xdr:colOff>
                    <xdr:row>3</xdr:row>
                    <xdr:rowOff>9525</xdr:rowOff>
                  </from>
                  <to>
                    <xdr:col>12</xdr:col>
                    <xdr:colOff>809625</xdr:colOff>
                    <xdr:row>4</xdr:row>
                    <xdr:rowOff>57150</xdr:rowOff>
                  </to>
                </anchor>
              </controlPr>
            </control>
          </mc:Choice>
        </mc:AlternateContent>
        <mc:AlternateContent xmlns:mc="http://schemas.openxmlformats.org/markup-compatibility/2006">
          <mc:Choice Requires="x14">
            <control shapeId="97284" r:id="rId7" name="Check Box 4">
              <controlPr defaultSize="0" autoFill="0" autoLine="0" autoPict="0" altText="Hinweis 3">
                <anchor moveWithCells="1" sizeWithCells="1">
                  <from>
                    <xdr:col>12</xdr:col>
                    <xdr:colOff>19050</xdr:colOff>
                    <xdr:row>4</xdr:row>
                    <xdr:rowOff>66675</xdr:rowOff>
                  </from>
                  <to>
                    <xdr:col>12</xdr:col>
                    <xdr:colOff>809625</xdr:colOff>
                    <xdr:row>5</xdr:row>
                    <xdr:rowOff>123825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E4E8C-2A74-4E55-9EC6-89F62ECD3F7B}">
  <sheetPr codeName="Tabelle39">
    <tabColor indexed="40"/>
  </sheetPr>
  <dimension ref="A1:U27"/>
  <sheetViews>
    <sheetView showGridLines="0" zoomScaleNormal="100" workbookViewId="0">
      <pane ySplit="21" topLeftCell="A22" activePane="bottomLeft" state="frozen"/>
      <selection pane="bottomLeft"/>
    </sheetView>
  </sheetViews>
  <sheetFormatPr baseColWidth="10" defaultColWidth="0" defaultRowHeight="15" customHeight="1" x14ac:dyDescent="0.2"/>
  <cols>
    <col min="1" max="1" width="11.7109375" style="3" customWidth="1"/>
    <col min="2" max="2" width="7.7109375" style="3" customWidth="1"/>
    <col min="3" max="3" width="5.7109375" style="3" customWidth="1"/>
    <col min="4" max="4" width="8.28515625" style="3" customWidth="1"/>
    <col min="5" max="5" width="21.7109375" style="3" customWidth="1"/>
    <col min="6" max="6" width="13.5703125" style="3" bestFit="1" customWidth="1"/>
    <col min="7" max="7" width="10.7109375" style="3" customWidth="1"/>
    <col min="8" max="8" width="9.7109375" style="3" customWidth="1"/>
    <col min="9" max="9" width="11.7109375" style="3" customWidth="1"/>
    <col min="10" max="10" width="10.5703125" style="3" bestFit="1" customWidth="1"/>
    <col min="11" max="11" width="7.85546875" style="3" customWidth="1"/>
    <col min="12" max="12" width="8.7109375" style="3" customWidth="1"/>
    <col min="13" max="13" width="12.140625" style="3" customWidth="1"/>
    <col min="14" max="14" width="9.42578125" style="3" customWidth="1"/>
    <col min="15" max="15" width="8.42578125" style="3" customWidth="1"/>
    <col min="16" max="17" width="11.42578125" style="3" customWidth="1"/>
    <col min="18" max="19" width="11.28515625" style="3" customWidth="1"/>
    <col min="20" max="20" width="22.28515625" style="3" customWidth="1"/>
    <col min="21" max="21" width="0" style="3" hidden="1" customWidth="1"/>
    <col min="22" max="16384" width="11.42578125" style="3" hidden="1"/>
  </cols>
  <sheetData>
    <row r="1" spans="1:21" ht="15" customHeight="1" x14ac:dyDescent="0.2">
      <c r="M1" s="5" t="s">
        <v>100</v>
      </c>
    </row>
    <row r="2" spans="1:21" ht="21" customHeight="1" x14ac:dyDescent="0.2">
      <c r="A2" s="217" t="s">
        <v>177</v>
      </c>
      <c r="B2" s="218"/>
      <c r="C2" s="218"/>
      <c r="D2" s="218" t="b">
        <v>0</v>
      </c>
      <c r="E2" s="219"/>
      <c r="G2" s="220" t="s">
        <v>190</v>
      </c>
      <c r="H2" s="220" t="s">
        <v>182</v>
      </c>
      <c r="I2" s="220" t="s">
        <v>183</v>
      </c>
      <c r="J2" s="220" t="s">
        <v>202</v>
      </c>
      <c r="M2" s="23" t="b">
        <v>0</v>
      </c>
      <c r="N2" s="192" t="str">
        <f>IF(M2=TRUE,"Bitte tragen Sie Ihre Leistungswerte in die gelben Zellen direkt unter der Zelle Leistungswerte (m²/h) ein. Die Leistungswerte werden automatisch in die untere Kalkulation übernommen. Die linke Tabelle ist lediglich eine Ausfüllhilfe.",IF(M3=TRUE,"Wenn eine Jahresreinigungsfläche für eine Reinigungsgruppe mit 0 angegeben ist, brauchen Sie den Leistungswert nicht auszufüllen. Es schadet aber nichts, wenn Sie es trotzdem tun.",IF(M4=TRUE,"Sie können in der Kalkulationstabelle (unten) in jedem einzelnen Raum die Leistungswerte (gelbe Zellen) beliebig oft individuell anpassen. Mit dem individuellen Überschreiben wird die Verknüpfung zu den Leistungswerten in der obigen Tabelle aufgehoben.",IF( M5=TRUE,"Die rot markierten Informationen sind auch lediglich eine Unterstützung. Sie erscheinen, wenn gelbe Zellen in dieser Tabelle oder in den Stundenverrechnungssätzen (SVS) nicht ausgefüllt sind. Wenn keine rote Schrift mehr da ist, ist alles vollständig.",""))))</f>
        <v/>
      </c>
      <c r="O2" s="192"/>
      <c r="P2" s="192"/>
      <c r="Q2" s="192"/>
    </row>
    <row r="3" spans="1:21" ht="21" customHeight="1" x14ac:dyDescent="0.2">
      <c r="A3" s="154" t="s">
        <v>178</v>
      </c>
      <c r="B3" s="155"/>
      <c r="C3" s="155"/>
      <c r="D3" s="155"/>
      <c r="E3" s="156"/>
      <c r="G3" s="221"/>
      <c r="H3" s="221" t="b">
        <v>0</v>
      </c>
      <c r="I3" s="221"/>
      <c r="J3" s="221"/>
      <c r="M3" s="23" t="b">
        <v>0</v>
      </c>
      <c r="N3" s="192"/>
      <c r="O3" s="192"/>
      <c r="P3" s="192"/>
      <c r="Q3" s="192"/>
    </row>
    <row r="4" spans="1:21" ht="15" customHeight="1" x14ac:dyDescent="0.2">
      <c r="A4" s="215" t="s">
        <v>91</v>
      </c>
      <c r="B4" s="225" t="str">
        <f>IF(Inhaltsverzeichnis!C3="","",Inhaltsverzeichnis!C3)</f>
        <v/>
      </c>
      <c r="C4" s="226"/>
      <c r="D4" s="226"/>
      <c r="E4" s="227"/>
      <c r="G4" s="153" t="s">
        <v>402</v>
      </c>
      <c r="H4" s="157"/>
      <c r="I4" s="158">
        <f ca="1">SUMIF('Kal Unter Stadtinfo'!J22:M27,$G$4,'Kal Unter Stadtinfo'!M22:M27)</f>
        <v>4547.84</v>
      </c>
      <c r="J4" s="118">
        <f>COUNTIFS('Kal Unter Stadtinfo'!J22:M27,$G$4)</f>
        <v>1</v>
      </c>
      <c r="M4" s="23" t="b">
        <v>0</v>
      </c>
      <c r="N4" s="192"/>
      <c r="O4" s="192"/>
      <c r="P4" s="192"/>
      <c r="Q4" s="192"/>
      <c r="U4" s="153" t="s">
        <v>402</v>
      </c>
    </row>
    <row r="5" spans="1:21" ht="15" customHeight="1" x14ac:dyDescent="0.2">
      <c r="A5" s="216"/>
      <c r="B5" s="228"/>
      <c r="C5" s="229"/>
      <c r="D5" s="229"/>
      <c r="E5" s="230"/>
      <c r="G5" s="153" t="s">
        <v>315</v>
      </c>
      <c r="H5" s="157"/>
      <c r="I5" s="158">
        <f ca="1">SUMIF('Kal Unter Stadtinfo'!J22:M27,$G$5,'Kal Unter Stadtinfo'!M22:M27)</f>
        <v>9147.94</v>
      </c>
      <c r="J5" s="118">
        <f>COUNTIFS('Kal Unter Stadtinfo'!J22:M27,$G$5)</f>
        <v>2</v>
      </c>
      <c r="M5" s="23" t="b">
        <v>0</v>
      </c>
      <c r="N5" s="192"/>
      <c r="O5" s="192"/>
      <c r="P5" s="192"/>
      <c r="Q5" s="192"/>
      <c r="U5" s="153" t="s">
        <v>315</v>
      </c>
    </row>
    <row r="6" spans="1:21" ht="15" customHeight="1" x14ac:dyDescent="0.2">
      <c r="A6" s="159" t="s">
        <v>200</v>
      </c>
      <c r="B6" s="231" t="s">
        <v>245</v>
      </c>
      <c r="C6" s="232"/>
      <c r="D6" s="232"/>
      <c r="E6" s="233"/>
      <c r="G6" s="153" t="s">
        <v>310</v>
      </c>
      <c r="H6" s="157"/>
      <c r="I6" s="158">
        <f ca="1">SUMIF('Kal Unter Stadtinfo'!J22:M27,$G$6,'Kal Unter Stadtinfo'!M22:M27)</f>
        <v>1486.32</v>
      </c>
      <c r="J6" s="118">
        <f>COUNTIFS('Kal Unter Stadtinfo'!J22:M27,$G$6)</f>
        <v>1</v>
      </c>
      <c r="U6" s="153" t="s">
        <v>310</v>
      </c>
    </row>
    <row r="7" spans="1:21" ht="15" customHeight="1" x14ac:dyDescent="0.2">
      <c r="A7" s="160" t="s">
        <v>198</v>
      </c>
      <c r="B7" s="234" t="s">
        <v>269</v>
      </c>
      <c r="C7" s="232"/>
      <c r="D7" s="232"/>
      <c r="E7" s="233"/>
      <c r="G7" s="153" t="s">
        <v>313</v>
      </c>
      <c r="H7" s="157"/>
      <c r="I7" s="158">
        <f ca="1">SUMIF('Kal Unter Stadtinfo'!J22:M27,$G$7,'Kal Unter Stadtinfo'!M22:M27)</f>
        <v>9236.4</v>
      </c>
      <c r="J7" s="118">
        <f>COUNTIFS('Kal Unter Stadtinfo'!J22:M27,$G$7)</f>
        <v>2</v>
      </c>
      <c r="U7" s="153" t="s">
        <v>313</v>
      </c>
    </row>
    <row r="8" spans="1:21" ht="15" customHeight="1" x14ac:dyDescent="0.2">
      <c r="A8" s="160" t="s">
        <v>199</v>
      </c>
      <c r="B8" s="231"/>
      <c r="C8" s="232"/>
      <c r="D8" s="232"/>
      <c r="E8" s="233"/>
    </row>
    <row r="9" spans="1:21" ht="15" customHeight="1" x14ac:dyDescent="0.2">
      <c r="A9" s="159" t="s">
        <v>197</v>
      </c>
      <c r="B9" s="235" t="s">
        <v>268</v>
      </c>
      <c r="C9" s="232"/>
      <c r="D9" s="232"/>
      <c r="E9" s="233"/>
    </row>
    <row r="10" spans="1:21" ht="15" customHeight="1" x14ac:dyDescent="0.2">
      <c r="A10" s="160" t="s">
        <v>179</v>
      </c>
      <c r="B10" s="231" t="s">
        <v>258</v>
      </c>
      <c r="C10" s="232"/>
      <c r="D10" s="232"/>
      <c r="E10" s="233"/>
    </row>
    <row r="11" spans="1:21" ht="15" customHeight="1" x14ac:dyDescent="0.2">
      <c r="A11" s="160" t="s">
        <v>180</v>
      </c>
      <c r="B11" s="236" t="s">
        <v>248</v>
      </c>
      <c r="C11" s="232"/>
      <c r="D11" s="232"/>
      <c r="E11" s="233"/>
    </row>
    <row r="12" spans="1:21" ht="15" customHeight="1" x14ac:dyDescent="0.2">
      <c r="A12" s="160" t="s">
        <v>181</v>
      </c>
      <c r="B12" s="231" t="s">
        <v>249</v>
      </c>
      <c r="C12" s="232"/>
      <c r="D12" s="232"/>
      <c r="E12" s="233"/>
    </row>
    <row r="13" spans="1:21" ht="15" customHeight="1" x14ac:dyDescent="0.2">
      <c r="A13" s="160" t="s">
        <v>184</v>
      </c>
      <c r="B13" s="222" t="str">
        <f>HYPERLINK("http://maps.google.de/maps?hl=de&amp;bav=on.2,or.r_qf.&amp;bvm=bv.44770516,d.Yms&amp;biw=1395&amp;bih=916&amp;um=1&amp;ie=UTF-8&amp;q="&amp;B7&amp;"+"&amp;B8&amp;"+"&amp;B10&amp;"+"&amp;B11&amp;"+"&amp;B12&amp;"","In Google-Maps anzeigen (wenn Internet verfügbar)")</f>
        <v>In Google-Maps anzeigen (wenn Internet verfügbar)</v>
      </c>
      <c r="C13" s="223"/>
      <c r="D13" s="223"/>
      <c r="E13" s="224"/>
    </row>
    <row r="14" spans="1:21" ht="15" customHeight="1" x14ac:dyDescent="0.2">
      <c r="T14" s="161">
        <f>IF(COUNTA($T$22:$T$27)-COUNTBLANK($T$22:$T$27)=0,"",COUNTA($T$22:$T$27)-COUNTBLANK($T$22:$T$27))</f>
        <v>6</v>
      </c>
    </row>
    <row r="15" spans="1:21" ht="15" hidden="1" customHeight="1" x14ac:dyDescent="0.2"/>
    <row r="16" spans="1:21" ht="15" hidden="1" customHeight="1" x14ac:dyDescent="0.2"/>
    <row r="17" spans="1:21" ht="15" hidden="1" customHeight="1" x14ac:dyDescent="0.2"/>
    <row r="18" spans="1:21" ht="15" hidden="1" customHeight="1" x14ac:dyDescent="0.2"/>
    <row r="19" spans="1:21" ht="15" hidden="1" customHeight="1" x14ac:dyDescent="0.2"/>
    <row r="20" spans="1:21" ht="45" customHeight="1" x14ac:dyDescent="0.2">
      <c r="A20" s="1" t="s">
        <v>92</v>
      </c>
      <c r="B20" s="1" t="s">
        <v>97</v>
      </c>
      <c r="C20" s="1" t="s">
        <v>93</v>
      </c>
      <c r="D20" s="1" t="s">
        <v>94</v>
      </c>
      <c r="E20" s="1" t="s">
        <v>98</v>
      </c>
      <c r="F20" s="1" t="s">
        <v>95</v>
      </c>
      <c r="G20" s="1" t="s">
        <v>121</v>
      </c>
      <c r="H20" s="1" t="s">
        <v>108</v>
      </c>
      <c r="I20" s="1" t="s">
        <v>109</v>
      </c>
      <c r="J20" s="1" t="s">
        <v>99</v>
      </c>
      <c r="K20" s="1" t="s">
        <v>106</v>
      </c>
      <c r="L20" s="1" t="s">
        <v>141</v>
      </c>
      <c r="M20" s="1" t="s">
        <v>111</v>
      </c>
      <c r="N20" s="1" t="s">
        <v>107</v>
      </c>
      <c r="O20" s="1" t="s">
        <v>112</v>
      </c>
      <c r="P20" s="1" t="s">
        <v>113</v>
      </c>
      <c r="Q20" s="1" t="s">
        <v>114</v>
      </c>
      <c r="R20" s="1" t="s">
        <v>201</v>
      </c>
      <c r="S20" s="1" t="s">
        <v>140</v>
      </c>
    </row>
    <row r="21" spans="1:21" ht="29.1" customHeight="1" x14ac:dyDescent="0.2">
      <c r="A21" s="162" t="s">
        <v>125</v>
      </c>
      <c r="B21" s="14"/>
      <c r="C21" s="14"/>
      <c r="D21" s="14"/>
      <c r="E21" s="14"/>
      <c r="F21" s="14"/>
      <c r="G21" s="163">
        <f>SUM($G$22:$G$27)</f>
        <v>149.05000000000001</v>
      </c>
      <c r="H21" s="163">
        <f>SUM($H$22:$H$27)</f>
        <v>0</v>
      </c>
      <c r="I21" s="163">
        <f>SUM($I$22:$I$27)</f>
        <v>3</v>
      </c>
      <c r="J21" s="95"/>
      <c r="K21" s="95"/>
      <c r="L21" s="164">
        <f>MAX(L22:L27)</f>
        <v>303.33</v>
      </c>
      <c r="M21" s="163">
        <f>SUM($M$22:$M$27)</f>
        <v>24418.5</v>
      </c>
      <c r="N21" s="95"/>
      <c r="O21" s="95"/>
      <c r="P21" s="163">
        <f>SUM($P$22:$P$27)</f>
        <v>0</v>
      </c>
      <c r="Q21" s="163">
        <f ca="1">SUM($Q$22:$Q$27)</f>
        <v>0</v>
      </c>
      <c r="R21" s="163">
        <f>ROUND(IF(L21=0,0,P21/L21),2)</f>
        <v>0</v>
      </c>
      <c r="S21" s="163">
        <f ca="1">ROUND(IF(L21=0,0,Q21/L21),2)</f>
        <v>0</v>
      </c>
    </row>
    <row r="22" spans="1:21" ht="15" customHeight="1" x14ac:dyDescent="0.2">
      <c r="A22" s="153">
        <v>1</v>
      </c>
      <c r="B22" s="165"/>
      <c r="C22" s="166" t="s">
        <v>276</v>
      </c>
      <c r="D22" s="166" t="s">
        <v>265</v>
      </c>
      <c r="E22" s="166" t="s">
        <v>402</v>
      </c>
      <c r="F22" s="166" t="s">
        <v>287</v>
      </c>
      <c r="G22" s="167">
        <v>29.92</v>
      </c>
      <c r="H22" s="167"/>
      <c r="I22" s="167"/>
      <c r="J22" s="153" t="s">
        <v>402</v>
      </c>
      <c r="K22" s="167">
        <v>3</v>
      </c>
      <c r="L22" s="95">
        <f>VLOOKUP(K22,Reinigungstage!A10:K31,11,FALSE)</f>
        <v>152</v>
      </c>
      <c r="M22" s="95">
        <f t="shared" ref="M22:M27" si="0">ROUND(IF(L22=0,0,L22*G22),2)</f>
        <v>4547.84</v>
      </c>
      <c r="N22" s="168">
        <f t="shared" ref="N22:N27" si="1">VLOOKUP(J22,$G$4:$H$7,2,FALSE)</f>
        <v>0</v>
      </c>
      <c r="O22" s="95">
        <f ca="1">IF('SVS UnterhaltsRG'!H61="",0,'SVS UnterhaltsRG'!H61)</f>
        <v>0</v>
      </c>
      <c r="P22" s="95">
        <f t="shared" ref="P22:P27" si="2">ROUND(IF(N22=0,0,M22/N22),2)</f>
        <v>0</v>
      </c>
      <c r="Q22" s="95">
        <f t="shared" ref="Q22:Q27" ca="1" si="3">IF(M22=0,0,IF(O22="",0,ROUND(P22*O22,2)))</f>
        <v>0</v>
      </c>
      <c r="R22" s="95">
        <f t="shared" ref="R22:R27" si="4">ROUND(IF(P22=0,0,P22/L22),2)</f>
        <v>0</v>
      </c>
      <c r="S22" s="95">
        <f t="shared" ref="S22:S27" ca="1" si="5">ROUND(IF(Q22=0,0,Q22/L22),2)</f>
        <v>0</v>
      </c>
      <c r="T22" s="3" t="str">
        <f t="shared" ref="T22:T27" si="6">IF(M22=0,"",IF(N22=0,"Leistungswert eintragen",IF(O22=0,"SVS prüfen","")))</f>
        <v>Leistungswert eintragen</v>
      </c>
      <c r="U22" s="3">
        <f t="shared" ref="U22:U27" si="7">VLOOKUP(J22,$U$4:$V$7,2,FALSE)</f>
        <v>0</v>
      </c>
    </row>
    <row r="23" spans="1:21" ht="24.95" customHeight="1" x14ac:dyDescent="0.2">
      <c r="A23" s="153">
        <v>2</v>
      </c>
      <c r="B23" s="165"/>
      <c r="C23" s="166" t="s">
        <v>276</v>
      </c>
      <c r="D23" s="166" t="s">
        <v>265</v>
      </c>
      <c r="E23" s="166" t="s">
        <v>536</v>
      </c>
      <c r="F23" s="166" t="s">
        <v>537</v>
      </c>
      <c r="G23" s="167">
        <v>13.23</v>
      </c>
      <c r="H23" s="167"/>
      <c r="I23" s="167">
        <v>1</v>
      </c>
      <c r="J23" s="153" t="s">
        <v>313</v>
      </c>
      <c r="K23" s="167">
        <v>6</v>
      </c>
      <c r="L23" s="95">
        <f>VLOOKUP(K23,Reinigungstage!A10:K31,11,FALSE)</f>
        <v>303.33</v>
      </c>
      <c r="M23" s="95">
        <f t="shared" si="0"/>
        <v>4013.06</v>
      </c>
      <c r="N23" s="168">
        <f t="shared" si="1"/>
        <v>0</v>
      </c>
      <c r="O23" s="95">
        <f ca="1">IF('SVS UnterhaltsRG'!H61="",0,'SVS UnterhaltsRG'!H61)</f>
        <v>0</v>
      </c>
      <c r="P23" s="95">
        <f t="shared" si="2"/>
        <v>0</v>
      </c>
      <c r="Q23" s="95">
        <f t="shared" ca="1" si="3"/>
        <v>0</v>
      </c>
      <c r="R23" s="95">
        <f t="shared" si="4"/>
        <v>0</v>
      </c>
      <c r="S23" s="95">
        <f t="shared" ca="1" si="5"/>
        <v>0</v>
      </c>
      <c r="T23" s="3" t="str">
        <f t="shared" si="6"/>
        <v>Leistungswert eintragen</v>
      </c>
      <c r="U23" s="3">
        <f t="shared" si="7"/>
        <v>0</v>
      </c>
    </row>
    <row r="24" spans="1:21" ht="24.95" customHeight="1" x14ac:dyDescent="0.2">
      <c r="A24" s="153">
        <v>3</v>
      </c>
      <c r="B24" s="165"/>
      <c r="C24" s="166" t="s">
        <v>276</v>
      </c>
      <c r="D24" s="166" t="s">
        <v>265</v>
      </c>
      <c r="E24" s="166" t="s">
        <v>269</v>
      </c>
      <c r="F24" s="166" t="s">
        <v>537</v>
      </c>
      <c r="G24" s="167">
        <v>47.69</v>
      </c>
      <c r="H24" s="167"/>
      <c r="I24" s="167">
        <v>1</v>
      </c>
      <c r="J24" s="153" t="s">
        <v>315</v>
      </c>
      <c r="K24" s="167">
        <v>3</v>
      </c>
      <c r="L24" s="95">
        <f>VLOOKUP(K24,Reinigungstage!A10:K31,11,FALSE)</f>
        <v>152</v>
      </c>
      <c r="M24" s="95">
        <f t="shared" si="0"/>
        <v>7248.88</v>
      </c>
      <c r="N24" s="168">
        <f t="shared" si="1"/>
        <v>0</v>
      </c>
      <c r="O24" s="95">
        <f ca="1">IF('SVS UnterhaltsRG'!H61="",0,'SVS UnterhaltsRG'!H61)</f>
        <v>0</v>
      </c>
      <c r="P24" s="95">
        <f t="shared" si="2"/>
        <v>0</v>
      </c>
      <c r="Q24" s="95">
        <f t="shared" ca="1" si="3"/>
        <v>0</v>
      </c>
      <c r="R24" s="95">
        <f t="shared" si="4"/>
        <v>0</v>
      </c>
      <c r="S24" s="95">
        <f t="shared" ca="1" si="5"/>
        <v>0</v>
      </c>
      <c r="T24" s="3" t="str">
        <f t="shared" si="6"/>
        <v>Leistungswert eintragen</v>
      </c>
      <c r="U24" s="3">
        <f t="shared" si="7"/>
        <v>0</v>
      </c>
    </row>
    <row r="25" spans="1:21" ht="24.95" customHeight="1" x14ac:dyDescent="0.2">
      <c r="A25" s="153">
        <v>4</v>
      </c>
      <c r="B25" s="165"/>
      <c r="C25" s="166" t="s">
        <v>276</v>
      </c>
      <c r="D25" s="166" t="s">
        <v>265</v>
      </c>
      <c r="E25" s="166" t="s">
        <v>538</v>
      </c>
      <c r="F25" s="166" t="s">
        <v>537</v>
      </c>
      <c r="G25" s="167">
        <v>36.090000000000003</v>
      </c>
      <c r="H25" s="167"/>
      <c r="I25" s="167"/>
      <c r="J25" s="153" t="s">
        <v>315</v>
      </c>
      <c r="K25" s="167">
        <v>1</v>
      </c>
      <c r="L25" s="95">
        <f>VLOOKUP(K25,Reinigungstage!A10:K31,11,FALSE)</f>
        <v>52.62</v>
      </c>
      <c r="M25" s="95">
        <f t="shared" si="0"/>
        <v>1899.06</v>
      </c>
      <c r="N25" s="168">
        <f t="shared" si="1"/>
        <v>0</v>
      </c>
      <c r="O25" s="95">
        <f ca="1">IF('SVS UnterhaltsRG'!H61="",0,'SVS UnterhaltsRG'!H61)</f>
        <v>0</v>
      </c>
      <c r="P25" s="95">
        <f t="shared" si="2"/>
        <v>0</v>
      </c>
      <c r="Q25" s="95">
        <f t="shared" ca="1" si="3"/>
        <v>0</v>
      </c>
      <c r="R25" s="95">
        <f t="shared" si="4"/>
        <v>0</v>
      </c>
      <c r="S25" s="95">
        <f t="shared" ca="1" si="5"/>
        <v>0</v>
      </c>
      <c r="T25" s="3" t="str">
        <f t="shared" si="6"/>
        <v>Leistungswert eintragen</v>
      </c>
      <c r="U25" s="3">
        <f t="shared" si="7"/>
        <v>0</v>
      </c>
    </row>
    <row r="26" spans="1:21" ht="15" customHeight="1" x14ac:dyDescent="0.2">
      <c r="A26" s="153">
        <v>5</v>
      </c>
      <c r="B26" s="165"/>
      <c r="C26" s="166" t="s">
        <v>276</v>
      </c>
      <c r="D26" s="166" t="s">
        <v>265</v>
      </c>
      <c r="E26" s="166" t="s">
        <v>309</v>
      </c>
      <c r="F26" s="166" t="s">
        <v>280</v>
      </c>
      <c r="G26" s="167">
        <v>4.9000000000000004</v>
      </c>
      <c r="H26" s="167"/>
      <c r="I26" s="167"/>
      <c r="J26" s="153" t="s">
        <v>310</v>
      </c>
      <c r="K26" s="167">
        <v>6</v>
      </c>
      <c r="L26" s="95">
        <f>VLOOKUP(K26,Reinigungstage!A10:K31,11,FALSE)</f>
        <v>303.33</v>
      </c>
      <c r="M26" s="95">
        <f t="shared" si="0"/>
        <v>1486.32</v>
      </c>
      <c r="N26" s="168">
        <f t="shared" si="1"/>
        <v>0</v>
      </c>
      <c r="O26" s="95">
        <f ca="1">IF('SVS UnterhaltsRG'!H61="",0,'SVS UnterhaltsRG'!H61)</f>
        <v>0</v>
      </c>
      <c r="P26" s="95">
        <f t="shared" si="2"/>
        <v>0</v>
      </c>
      <c r="Q26" s="95">
        <f t="shared" ca="1" si="3"/>
        <v>0</v>
      </c>
      <c r="R26" s="95">
        <f t="shared" si="4"/>
        <v>0</v>
      </c>
      <c r="S26" s="95">
        <f t="shared" ca="1" si="5"/>
        <v>0</v>
      </c>
      <c r="T26" s="3" t="str">
        <f t="shared" si="6"/>
        <v>Leistungswert eintragen</v>
      </c>
      <c r="U26" s="3">
        <f t="shared" si="7"/>
        <v>0</v>
      </c>
    </row>
    <row r="27" spans="1:21" ht="24.95" customHeight="1" x14ac:dyDescent="0.2">
      <c r="A27" s="153">
        <v>6</v>
      </c>
      <c r="B27" s="165"/>
      <c r="C27" s="166" t="s">
        <v>276</v>
      </c>
      <c r="D27" s="166" t="s">
        <v>265</v>
      </c>
      <c r="E27" s="166" t="s">
        <v>533</v>
      </c>
      <c r="F27" s="166" t="s">
        <v>537</v>
      </c>
      <c r="G27" s="167">
        <v>17.22</v>
      </c>
      <c r="H27" s="167"/>
      <c r="I27" s="167">
        <v>1</v>
      </c>
      <c r="J27" s="153" t="s">
        <v>313</v>
      </c>
      <c r="K27" s="167">
        <v>6</v>
      </c>
      <c r="L27" s="95">
        <f>VLOOKUP(K27,Reinigungstage!A10:K31,11,FALSE)</f>
        <v>303.33</v>
      </c>
      <c r="M27" s="95">
        <f t="shared" si="0"/>
        <v>5223.34</v>
      </c>
      <c r="N27" s="168">
        <f t="shared" si="1"/>
        <v>0</v>
      </c>
      <c r="O27" s="95">
        <f ca="1">IF('SVS UnterhaltsRG'!H61="",0,'SVS UnterhaltsRG'!H61)</f>
        <v>0</v>
      </c>
      <c r="P27" s="95">
        <f t="shared" si="2"/>
        <v>0</v>
      </c>
      <c r="Q27" s="95">
        <f t="shared" ca="1" si="3"/>
        <v>0</v>
      </c>
      <c r="R27" s="95">
        <f t="shared" si="4"/>
        <v>0</v>
      </c>
      <c r="S27" s="95">
        <f t="shared" ca="1" si="5"/>
        <v>0</v>
      </c>
      <c r="T27" s="3" t="str">
        <f t="shared" si="6"/>
        <v>Leistungswert eintragen</v>
      </c>
      <c r="U27" s="3">
        <f t="shared" si="7"/>
        <v>0</v>
      </c>
    </row>
  </sheetData>
  <sheetProtection algorithmName="SHA-512" hashValue="hlbNRyvhCX0Xn/3TeTcZgQk1xBFF4P1B63qolqJHP4cn2d6PYWYKB04Vp0QQmTn8zDvsxMk/X6gWJPoDM6OriA==" saltValue="fN1Isx2dSkUjKG/qBSWSXQ==" spinCount="100000" sheet="1" objects="1" scenarios="1"/>
  <sortState xmlns:xlrd2="http://schemas.microsoft.com/office/spreadsheetml/2017/richdata2" ref="U4:U7">
    <sortCondition ref="U4"/>
  </sortState>
  <mergeCells count="16">
    <mergeCell ref="B13:E13"/>
    <mergeCell ref="B4:E5"/>
    <mergeCell ref="B6:E6"/>
    <mergeCell ref="B7:E7"/>
    <mergeCell ref="B8:E8"/>
    <mergeCell ref="B9:E9"/>
    <mergeCell ref="B10:E10"/>
    <mergeCell ref="B11:E11"/>
    <mergeCell ref="B12:E12"/>
    <mergeCell ref="N2:Q5"/>
    <mergeCell ref="A4:A5"/>
    <mergeCell ref="A2:E2"/>
    <mergeCell ref="G2:G3"/>
    <mergeCell ref="H2:H3"/>
    <mergeCell ref="I2:I3"/>
    <mergeCell ref="J2:J3"/>
  </mergeCells>
  <conditionalFormatting sqref="T22:T27">
    <cfRule type="containsText" dxfId="106" priority="1" stopIfTrue="1" operator="containsText" text="SVS prüfen">
      <formula>NOT(ISERROR(SEARCH("SVS prüfen",T22)))</formula>
    </cfRule>
    <cfRule type="containsText" dxfId="105" priority="2" stopIfTrue="1" operator="containsText" text="Leistungswert eintragen">
      <formula>NOT(ISERROR(SEARCH("Leistungswert eintragen",T22)))</formula>
    </cfRule>
  </conditionalFormatting>
  <hyperlinks>
    <hyperlink ref="M1" location="Inhaltsverzeichnis!A1" display="Zurück zum Inhaltsverzeichnis" xr:uid="{30CA530E-71AD-46CC-9D3C-D031D5375622}"/>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&amp;RKal Unter Stadtinfo&amp;LStadt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sizeWithCells="1">
                  <from>
                    <xdr:col>12</xdr:col>
                    <xdr:colOff>19050</xdr:colOff>
                    <xdr:row>1</xdr:row>
                    <xdr:rowOff>38100</xdr:rowOff>
                  </from>
                  <to>
                    <xdr:col>12</xdr:col>
                    <xdr:colOff>809625</xdr:colOff>
                    <xdr:row>2</xdr:row>
                    <xdr:rowOff>19050</xdr:rowOff>
                  </to>
                </anchor>
              </controlPr>
            </control>
          </mc:Choice>
        </mc:AlternateContent>
        <mc:AlternateContent xmlns:mc="http://schemas.openxmlformats.org/markup-compatibility/2006">
          <mc:Choice Requires="x14">
            <control shapeId="98306" r:id="rId5" name="Check Box 2">
              <controlPr defaultSize="0" autoFill="0" autoLine="0" autoPict="0" altText="Hinweis 2">
                <anchor moveWithCells="1" sizeWithCells="1">
                  <from>
                    <xdr:col>12</xdr:col>
                    <xdr:colOff>19050</xdr:colOff>
                    <xdr:row>2</xdr:row>
                    <xdr:rowOff>19050</xdr:rowOff>
                  </from>
                  <to>
                    <xdr:col>12</xdr:col>
                    <xdr:colOff>809625</xdr:colOff>
                    <xdr:row>2</xdr:row>
                    <xdr:rowOff>266700</xdr:rowOff>
                  </to>
                </anchor>
              </controlPr>
            </control>
          </mc:Choice>
        </mc:AlternateContent>
        <mc:AlternateContent xmlns:mc="http://schemas.openxmlformats.org/markup-compatibility/2006">
          <mc:Choice Requires="x14">
            <control shapeId="98307" r:id="rId6" name="Check Box 3">
              <controlPr defaultSize="0" autoFill="0" autoLine="0" autoPict="0" altText="Hinweis 3">
                <anchor moveWithCells="1" sizeWithCells="1">
                  <from>
                    <xdr:col>12</xdr:col>
                    <xdr:colOff>19050</xdr:colOff>
                    <xdr:row>3</xdr:row>
                    <xdr:rowOff>9525</xdr:rowOff>
                  </from>
                  <to>
                    <xdr:col>12</xdr:col>
                    <xdr:colOff>809625</xdr:colOff>
                    <xdr:row>4</xdr:row>
                    <xdr:rowOff>57150</xdr:rowOff>
                  </to>
                </anchor>
              </controlPr>
            </control>
          </mc:Choice>
        </mc:AlternateContent>
        <mc:AlternateContent xmlns:mc="http://schemas.openxmlformats.org/markup-compatibility/2006">
          <mc:Choice Requires="x14">
            <control shapeId="98308" r:id="rId7" name="Check Box 4">
              <controlPr defaultSize="0" autoFill="0" autoLine="0" autoPict="0" altText="Hinweis 3">
                <anchor moveWithCells="1" sizeWithCells="1">
                  <from>
                    <xdr:col>12</xdr:col>
                    <xdr:colOff>19050</xdr:colOff>
                    <xdr:row>4</xdr:row>
                    <xdr:rowOff>66675</xdr:rowOff>
                  </from>
                  <to>
                    <xdr:col>12</xdr:col>
                    <xdr:colOff>809625</xdr:colOff>
                    <xdr:row>5</xdr:row>
                    <xdr:rowOff>123825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1ECD-C6D2-4E07-A4BF-3F3E99DC54C3}">
  <sheetPr codeName="Tabelle40">
    <tabColor indexed="40"/>
  </sheetPr>
  <dimension ref="A1:U47"/>
  <sheetViews>
    <sheetView showGridLines="0" zoomScaleNormal="100" workbookViewId="0">
      <pane ySplit="21" topLeftCell="A22" activePane="bottomLeft" state="frozen"/>
      <selection pane="bottomLeft"/>
    </sheetView>
  </sheetViews>
  <sheetFormatPr baseColWidth="10" defaultColWidth="0" defaultRowHeight="15" customHeight="1" x14ac:dyDescent="0.2"/>
  <cols>
    <col min="1" max="1" width="11.7109375" style="3" customWidth="1"/>
    <col min="2" max="2" width="7.7109375" style="3" customWidth="1"/>
    <col min="3" max="3" width="5.7109375" style="3" customWidth="1"/>
    <col min="4" max="4" width="10.5703125" style="3" customWidth="1"/>
    <col min="5" max="5" width="21.7109375" style="3" customWidth="1"/>
    <col min="6" max="6" width="15.42578125" style="3" customWidth="1"/>
    <col min="7" max="7" width="10.7109375" style="3" customWidth="1"/>
    <col min="8" max="8" width="9.7109375" style="3" customWidth="1"/>
    <col min="9" max="9" width="11.7109375" style="3" customWidth="1"/>
    <col min="10" max="10" width="10.5703125" style="3" bestFit="1" customWidth="1"/>
    <col min="11" max="11" width="7.85546875" style="3" customWidth="1"/>
    <col min="12" max="12" width="8.7109375" style="3" customWidth="1"/>
    <col min="13" max="13" width="12.140625" style="3" customWidth="1"/>
    <col min="14" max="14" width="9.42578125" style="3" customWidth="1"/>
    <col min="15" max="15" width="8.42578125" style="3" customWidth="1"/>
    <col min="16" max="17" width="11.42578125" style="3" customWidth="1"/>
    <col min="18" max="19" width="11.28515625" style="3" customWidth="1"/>
    <col min="20" max="20" width="22.28515625" style="3" customWidth="1"/>
    <col min="21" max="21" width="0" style="3" hidden="1" customWidth="1"/>
    <col min="22" max="16384" width="11.42578125" style="3" hidden="1"/>
  </cols>
  <sheetData>
    <row r="1" spans="1:21" ht="15" customHeight="1" x14ac:dyDescent="0.2">
      <c r="M1" s="5" t="s">
        <v>100</v>
      </c>
    </row>
    <row r="2" spans="1:21" ht="21" customHeight="1" x14ac:dyDescent="0.2">
      <c r="A2" s="217" t="s">
        <v>177</v>
      </c>
      <c r="B2" s="218"/>
      <c r="C2" s="218"/>
      <c r="D2" s="218" t="b">
        <v>0</v>
      </c>
      <c r="E2" s="219"/>
      <c r="G2" s="220" t="s">
        <v>190</v>
      </c>
      <c r="H2" s="220" t="s">
        <v>182</v>
      </c>
      <c r="I2" s="220" t="s">
        <v>183</v>
      </c>
      <c r="J2" s="220" t="s">
        <v>202</v>
      </c>
      <c r="M2" s="23" t="b">
        <v>0</v>
      </c>
      <c r="N2" s="192" t="str">
        <f>IF(M2=TRUE,"Bitte tragen Sie Ihre Leistungswerte in die gelben Zellen direkt unter der Zelle Leistungswerte (m²/h) ein. Die Leistungswerte werden automatisch in die untere Kalkulation übernommen. Die linke Tabelle ist lediglich eine Ausfüllhilfe.",IF(M3=TRUE,"Wenn eine Jahresreinigungsfläche für eine Reinigungsgruppe mit 0 angegeben ist, brauchen Sie den Leistungswert nicht auszufüllen. Es schadet aber nichts, wenn Sie es trotzdem tun.",IF(M4=TRUE,"Sie können in der Kalkulationstabelle (unten) in jedem einzelnen Raum die Leistungswerte (gelbe Zellen) beliebig oft individuell anpassen. Mit dem individuellen Überschreiben wird die Verknüpfung zu den Leistungswerten in der obigen Tabelle aufgehoben.",IF( M5=TRUE,"Die rot markierten Informationen sind auch lediglich eine Unterstützung. Sie erscheinen, wenn gelbe Zellen in dieser Tabelle oder in den Stundenverrechnungssätzen (SVS) nicht ausgefüllt sind. Wenn keine rote Schrift mehr da ist, ist alles vollständig.",""))))</f>
        <v/>
      </c>
      <c r="O2" s="192"/>
      <c r="P2" s="192"/>
      <c r="Q2" s="192"/>
    </row>
    <row r="3" spans="1:21" ht="21" customHeight="1" x14ac:dyDescent="0.2">
      <c r="A3" s="154" t="s">
        <v>178</v>
      </c>
      <c r="B3" s="155"/>
      <c r="C3" s="155"/>
      <c r="D3" s="155"/>
      <c r="E3" s="156"/>
      <c r="G3" s="221"/>
      <c r="H3" s="221" t="b">
        <v>0</v>
      </c>
      <c r="I3" s="221"/>
      <c r="J3" s="221"/>
      <c r="M3" s="23" t="b">
        <v>0</v>
      </c>
      <c r="N3" s="192"/>
      <c r="O3" s="192"/>
      <c r="P3" s="192"/>
      <c r="Q3" s="192"/>
    </row>
    <row r="4" spans="1:21" ht="15" customHeight="1" x14ac:dyDescent="0.2">
      <c r="A4" s="215" t="s">
        <v>91</v>
      </c>
      <c r="B4" s="225" t="str">
        <f>IF(Inhaltsverzeichnis!C3="","",Inhaltsverzeichnis!C3)</f>
        <v/>
      </c>
      <c r="C4" s="226"/>
      <c r="D4" s="226"/>
      <c r="E4" s="227"/>
      <c r="G4" s="153" t="s">
        <v>402</v>
      </c>
      <c r="H4" s="157"/>
      <c r="I4" s="158">
        <f ca="1">SUMIF('Kal Unter Verwaltung I'!J22:M47,$G$4,'Kal Unter Verwaltung I'!M22:M47)</f>
        <v>21463.559999999998</v>
      </c>
      <c r="J4" s="118">
        <f>COUNTIFS('Kal Unter Verwaltung I'!J22:M47,$G$4)</f>
        <v>11</v>
      </c>
      <c r="M4" s="23" t="b">
        <v>0</v>
      </c>
      <c r="N4" s="192"/>
      <c r="O4" s="192"/>
      <c r="P4" s="192"/>
      <c r="Q4" s="192"/>
      <c r="U4" s="153" t="s">
        <v>402</v>
      </c>
    </row>
    <row r="5" spans="1:21" ht="15" customHeight="1" x14ac:dyDescent="0.2">
      <c r="A5" s="216"/>
      <c r="B5" s="228"/>
      <c r="C5" s="229"/>
      <c r="D5" s="229"/>
      <c r="E5" s="230"/>
      <c r="G5" s="153" t="s">
        <v>315</v>
      </c>
      <c r="H5" s="157"/>
      <c r="I5" s="158">
        <f ca="1">SUMIF('Kal Unter Verwaltung I'!J22:M47,$G$5,'Kal Unter Verwaltung I'!M22:M47)</f>
        <v>420.96</v>
      </c>
      <c r="J5" s="118">
        <f>COUNTIFS('Kal Unter Verwaltung I'!J22:M47,$G$5)</f>
        <v>1</v>
      </c>
      <c r="M5" s="23" t="b">
        <v>0</v>
      </c>
      <c r="N5" s="192"/>
      <c r="O5" s="192"/>
      <c r="P5" s="192"/>
      <c r="Q5" s="192"/>
      <c r="U5" s="153" t="s">
        <v>315</v>
      </c>
    </row>
    <row r="6" spans="1:21" ht="15" customHeight="1" x14ac:dyDescent="0.2">
      <c r="A6" s="159" t="s">
        <v>200</v>
      </c>
      <c r="B6" s="231" t="s">
        <v>245</v>
      </c>
      <c r="C6" s="232"/>
      <c r="D6" s="232"/>
      <c r="E6" s="233"/>
      <c r="G6" s="153" t="s">
        <v>314</v>
      </c>
      <c r="H6" s="157"/>
      <c r="I6" s="158">
        <f ca="1">SUMIF('Kal Unter Verwaltung I'!J22:M47,$G$6,'Kal Unter Verwaltung I'!M22:M47)</f>
        <v>2991.83</v>
      </c>
      <c r="J6" s="118">
        <f>COUNTIFS('Kal Unter Verwaltung I'!J22:M47,$G$6)</f>
        <v>2</v>
      </c>
      <c r="U6" s="153" t="s">
        <v>314</v>
      </c>
    </row>
    <row r="7" spans="1:21" ht="15" customHeight="1" x14ac:dyDescent="0.2">
      <c r="A7" s="160" t="s">
        <v>198</v>
      </c>
      <c r="B7" s="234" t="s">
        <v>270</v>
      </c>
      <c r="C7" s="232"/>
      <c r="D7" s="232"/>
      <c r="E7" s="233"/>
      <c r="G7" s="153" t="s">
        <v>312</v>
      </c>
      <c r="H7" s="157"/>
      <c r="I7" s="158">
        <f ca="1">SUMIF('Kal Unter Verwaltung I'!J22:M47,$G$7,'Kal Unter Verwaltung I'!M22:M47)</f>
        <v>132.84</v>
      </c>
      <c r="J7" s="118">
        <f>COUNTIFS('Kal Unter Verwaltung I'!J22:M47,$G$7)</f>
        <v>2</v>
      </c>
      <c r="U7" s="153" t="s">
        <v>312</v>
      </c>
    </row>
    <row r="8" spans="1:21" ht="15" customHeight="1" x14ac:dyDescent="0.2">
      <c r="A8" s="160" t="s">
        <v>199</v>
      </c>
      <c r="B8" s="231"/>
      <c r="C8" s="232"/>
      <c r="D8" s="232"/>
      <c r="E8" s="233"/>
      <c r="G8" s="153" t="s">
        <v>310</v>
      </c>
      <c r="H8" s="157"/>
      <c r="I8" s="158">
        <f ca="1">SUMIF('Kal Unter Verwaltung I'!J22:M47,$G$8,'Kal Unter Verwaltung I'!M22:M47)</f>
        <v>4472.41</v>
      </c>
      <c r="J8" s="118">
        <f>COUNTIFS('Kal Unter Verwaltung I'!J22:M47,$G$8)</f>
        <v>4</v>
      </c>
      <c r="U8" s="153" t="s">
        <v>310</v>
      </c>
    </row>
    <row r="9" spans="1:21" ht="15" customHeight="1" x14ac:dyDescent="0.2">
      <c r="A9" s="159" t="s">
        <v>197</v>
      </c>
      <c r="B9" s="235" t="s">
        <v>270</v>
      </c>
      <c r="C9" s="232"/>
      <c r="D9" s="232"/>
      <c r="E9" s="233"/>
      <c r="G9" s="153" t="s">
        <v>313</v>
      </c>
      <c r="H9" s="157"/>
      <c r="I9" s="158">
        <f ca="1">SUMIF('Kal Unter Verwaltung I'!J22:M47,$G$9,'Kal Unter Verwaltung I'!M22:M47)</f>
        <v>9342.8099999999977</v>
      </c>
      <c r="J9" s="118">
        <f>COUNTIFS('Kal Unter Verwaltung I'!J22:M47,$G$9)</f>
        <v>5</v>
      </c>
      <c r="U9" s="153" t="s">
        <v>313</v>
      </c>
    </row>
    <row r="10" spans="1:21" ht="15" customHeight="1" x14ac:dyDescent="0.2">
      <c r="A10" s="160" t="s">
        <v>179</v>
      </c>
      <c r="B10" s="231" t="s">
        <v>271</v>
      </c>
      <c r="C10" s="232"/>
      <c r="D10" s="232"/>
      <c r="E10" s="233"/>
      <c r="G10" s="153" t="s">
        <v>404</v>
      </c>
      <c r="H10" s="157"/>
      <c r="I10" s="158">
        <f ca="1">SUMIF('Kal Unter Verwaltung I'!J22:M47,$G$10,'Kal Unter Verwaltung I'!M22:M47)</f>
        <v>3131.16</v>
      </c>
      <c r="J10" s="118">
        <f>COUNTIFS('Kal Unter Verwaltung I'!J22:M47,$G$10)</f>
        <v>1</v>
      </c>
      <c r="U10" s="153" t="s">
        <v>404</v>
      </c>
    </row>
    <row r="11" spans="1:21" ht="15" customHeight="1" x14ac:dyDescent="0.2">
      <c r="A11" s="160" t="s">
        <v>180</v>
      </c>
      <c r="B11" s="236" t="s">
        <v>248</v>
      </c>
      <c r="C11" s="232"/>
      <c r="D11" s="232"/>
      <c r="E11" s="233"/>
    </row>
    <row r="12" spans="1:21" ht="15" customHeight="1" x14ac:dyDescent="0.2">
      <c r="A12" s="160" t="s">
        <v>181</v>
      </c>
      <c r="B12" s="231" t="s">
        <v>249</v>
      </c>
      <c r="C12" s="232"/>
      <c r="D12" s="232"/>
      <c r="E12" s="233"/>
    </row>
    <row r="13" spans="1:21" ht="15" customHeight="1" x14ac:dyDescent="0.2">
      <c r="A13" s="160" t="s">
        <v>184</v>
      </c>
      <c r="B13" s="222" t="str">
        <f>HYPERLINK("http://maps.google.de/maps?hl=de&amp;bav=on.2,or.r_qf.&amp;bvm=bv.44770516,d.Yms&amp;biw=1395&amp;bih=916&amp;um=1&amp;ie=UTF-8&amp;q="&amp;B7&amp;"+"&amp;B8&amp;"+"&amp;B10&amp;"+"&amp;B11&amp;"+"&amp;B12&amp;"","In Google-Maps anzeigen (wenn Internet verfügbar)")</f>
        <v>In Google-Maps anzeigen (wenn Internet verfügbar)</v>
      </c>
      <c r="C13" s="223"/>
      <c r="D13" s="223"/>
      <c r="E13" s="224"/>
    </row>
    <row r="14" spans="1:21" ht="15" customHeight="1" x14ac:dyDescent="0.2">
      <c r="T14" s="161">
        <f>IF(COUNTA($T$22:$T$47)-COUNTBLANK($T$22:$T$47)=0,"",COUNTA($T$22:$T$47)-COUNTBLANK($T$22:$T$47))</f>
        <v>26</v>
      </c>
    </row>
    <row r="15" spans="1:21" ht="15" hidden="1" customHeight="1" x14ac:dyDescent="0.2"/>
    <row r="16" spans="1:21" ht="15" hidden="1" customHeight="1" x14ac:dyDescent="0.2"/>
    <row r="17" spans="1:21" ht="15" hidden="1" customHeight="1" x14ac:dyDescent="0.2"/>
    <row r="18" spans="1:21" ht="15" hidden="1" customHeight="1" x14ac:dyDescent="0.2"/>
    <row r="19" spans="1:21" ht="15" hidden="1" customHeight="1" x14ac:dyDescent="0.2"/>
    <row r="20" spans="1:21" ht="45" customHeight="1" x14ac:dyDescent="0.2">
      <c r="A20" s="1" t="s">
        <v>92</v>
      </c>
      <c r="B20" s="1" t="s">
        <v>97</v>
      </c>
      <c r="C20" s="1" t="s">
        <v>93</v>
      </c>
      <c r="D20" s="1" t="s">
        <v>94</v>
      </c>
      <c r="E20" s="1" t="s">
        <v>98</v>
      </c>
      <c r="F20" s="1" t="s">
        <v>95</v>
      </c>
      <c r="G20" s="1" t="s">
        <v>121</v>
      </c>
      <c r="H20" s="1" t="s">
        <v>108</v>
      </c>
      <c r="I20" s="1" t="s">
        <v>109</v>
      </c>
      <c r="J20" s="1" t="s">
        <v>99</v>
      </c>
      <c r="K20" s="1" t="s">
        <v>106</v>
      </c>
      <c r="L20" s="1" t="s">
        <v>141</v>
      </c>
      <c r="M20" s="1" t="s">
        <v>111</v>
      </c>
      <c r="N20" s="1" t="s">
        <v>107</v>
      </c>
      <c r="O20" s="1" t="s">
        <v>112</v>
      </c>
      <c r="P20" s="1" t="s">
        <v>113</v>
      </c>
      <c r="Q20" s="1" t="s">
        <v>114</v>
      </c>
      <c r="R20" s="1" t="s">
        <v>201</v>
      </c>
      <c r="S20" s="1" t="s">
        <v>140</v>
      </c>
    </row>
    <row r="21" spans="1:21" ht="29.1" customHeight="1" x14ac:dyDescent="0.2">
      <c r="A21" s="162" t="s">
        <v>125</v>
      </c>
      <c r="B21" s="14"/>
      <c r="C21" s="14"/>
      <c r="D21" s="14"/>
      <c r="E21" s="14"/>
      <c r="F21" s="14"/>
      <c r="G21" s="163">
        <f>SUM($G$22:$G$47)</f>
        <v>306.14999999999998</v>
      </c>
      <c r="H21" s="163">
        <f>SUM($H$22:$H$47)</f>
        <v>0</v>
      </c>
      <c r="I21" s="163">
        <f>SUM($I$22:$I$47)</f>
        <v>2</v>
      </c>
      <c r="J21" s="95"/>
      <c r="K21" s="95"/>
      <c r="L21" s="164">
        <f>MAX(L22:L47)</f>
        <v>253.33</v>
      </c>
      <c r="M21" s="163">
        <f>SUM($M$22:$M$47)</f>
        <v>41955.57</v>
      </c>
      <c r="N21" s="95"/>
      <c r="O21" s="95"/>
      <c r="P21" s="163">
        <f>SUM($P$22:$P$47)</f>
        <v>0</v>
      </c>
      <c r="Q21" s="163">
        <f ca="1">SUM($Q$22:$Q$47)</f>
        <v>0</v>
      </c>
      <c r="R21" s="163">
        <f>ROUND(IF(L21=0,0,P21/L21),2)</f>
        <v>0</v>
      </c>
      <c r="S21" s="163">
        <f ca="1">ROUND(IF(L21=0,0,Q21/L21),2)</f>
        <v>0</v>
      </c>
    </row>
    <row r="22" spans="1:21" ht="15" customHeight="1" x14ac:dyDescent="0.2">
      <c r="A22" s="153">
        <v>1</v>
      </c>
      <c r="B22" s="165"/>
      <c r="C22" s="166" t="s">
        <v>316</v>
      </c>
      <c r="D22" s="166"/>
      <c r="E22" s="166" t="s">
        <v>310</v>
      </c>
      <c r="F22" s="166" t="s">
        <v>280</v>
      </c>
      <c r="G22" s="167">
        <v>7.64</v>
      </c>
      <c r="H22" s="167"/>
      <c r="I22" s="167"/>
      <c r="J22" s="153" t="s">
        <v>310</v>
      </c>
      <c r="K22" s="167">
        <v>2</v>
      </c>
      <c r="L22" s="95">
        <f>VLOOKUP(K22,Reinigungstage!A10:L31,12,FALSE)</f>
        <v>105.26</v>
      </c>
      <c r="M22" s="95">
        <f t="shared" ref="M22:M47" si="0">ROUND(IF(L22=0,0,L22*G22),2)</f>
        <v>804.19</v>
      </c>
      <c r="N22" s="168">
        <f t="shared" ref="N22:N47" si="1">VLOOKUP(J22,$G$4:$H$10,2,FALSE)</f>
        <v>0</v>
      </c>
      <c r="O22" s="95">
        <f ca="1">IF('SVS UnterhaltsRG'!H61="",0,'SVS UnterhaltsRG'!H61)</f>
        <v>0</v>
      </c>
      <c r="P22" s="95">
        <f t="shared" ref="P22:P47" si="2">ROUND(IF(N22=0,0,M22/N22),2)</f>
        <v>0</v>
      </c>
      <c r="Q22" s="95">
        <f t="shared" ref="Q22:Q47" ca="1" si="3">IF(M22=0,0,IF(O22="",0,ROUND(P22*O22,2)))</f>
        <v>0</v>
      </c>
      <c r="R22" s="95">
        <f t="shared" ref="R22:R47" si="4">ROUND(IF(P22=0,0,P22/L22),2)</f>
        <v>0</v>
      </c>
      <c r="S22" s="95">
        <f t="shared" ref="S22:S47" ca="1" si="5">ROUND(IF(Q22=0,0,Q22/L22),2)</f>
        <v>0</v>
      </c>
      <c r="T22" s="3" t="str">
        <f t="shared" ref="T22:T47" si="6">IF(M22=0,"",IF(N22=0,"Leistungswert eintragen",IF(O22=0,"SVS prüfen","")))</f>
        <v>Leistungswert eintragen</v>
      </c>
      <c r="U22" s="3">
        <f t="shared" ref="U22:U47" si="7">VLOOKUP(J22,$U$4:$V$10,2,FALSE)</f>
        <v>0</v>
      </c>
    </row>
    <row r="23" spans="1:21" ht="15" customHeight="1" x14ac:dyDescent="0.2">
      <c r="A23" s="153">
        <v>2</v>
      </c>
      <c r="B23" s="165" t="s">
        <v>539</v>
      </c>
      <c r="C23" s="166" t="s">
        <v>306</v>
      </c>
      <c r="D23" s="166"/>
      <c r="E23" s="166" t="s">
        <v>540</v>
      </c>
      <c r="F23" s="166" t="s">
        <v>287</v>
      </c>
      <c r="G23" s="167">
        <v>17.2</v>
      </c>
      <c r="H23" s="167"/>
      <c r="I23" s="167"/>
      <c r="J23" s="153" t="s">
        <v>402</v>
      </c>
      <c r="K23" s="167">
        <v>2</v>
      </c>
      <c r="L23" s="95">
        <f>VLOOKUP(K23,Reinigungstage!A10:L31,12,FALSE)</f>
        <v>105.26</v>
      </c>
      <c r="M23" s="95">
        <f t="shared" si="0"/>
        <v>1810.47</v>
      </c>
      <c r="N23" s="168">
        <f t="shared" si="1"/>
        <v>0</v>
      </c>
      <c r="O23" s="95">
        <f ca="1">IF('SVS UnterhaltsRG'!H61="",0,'SVS UnterhaltsRG'!H61)</f>
        <v>0</v>
      </c>
      <c r="P23" s="95">
        <f t="shared" si="2"/>
        <v>0</v>
      </c>
      <c r="Q23" s="95">
        <f t="shared" ca="1" si="3"/>
        <v>0</v>
      </c>
      <c r="R23" s="95">
        <f t="shared" si="4"/>
        <v>0</v>
      </c>
      <c r="S23" s="95">
        <f t="shared" ca="1" si="5"/>
        <v>0</v>
      </c>
      <c r="T23" s="3" t="str">
        <f t="shared" si="6"/>
        <v>Leistungswert eintragen</v>
      </c>
      <c r="U23" s="3">
        <f t="shared" si="7"/>
        <v>0</v>
      </c>
    </row>
    <row r="24" spans="1:21" ht="15" customHeight="1" x14ac:dyDescent="0.2">
      <c r="A24" s="153">
        <v>3</v>
      </c>
      <c r="B24" s="165" t="s">
        <v>541</v>
      </c>
      <c r="C24" s="166" t="s">
        <v>306</v>
      </c>
      <c r="D24" s="166"/>
      <c r="E24" s="166" t="s">
        <v>540</v>
      </c>
      <c r="F24" s="166" t="s">
        <v>287</v>
      </c>
      <c r="G24" s="167">
        <v>13.31</v>
      </c>
      <c r="H24" s="167"/>
      <c r="I24" s="167"/>
      <c r="J24" s="153" t="s">
        <v>402</v>
      </c>
      <c r="K24" s="167">
        <v>2</v>
      </c>
      <c r="L24" s="95">
        <f>VLOOKUP(K24,Reinigungstage!A10:L31,12,FALSE)</f>
        <v>105.26</v>
      </c>
      <c r="M24" s="95">
        <f t="shared" si="0"/>
        <v>1401.01</v>
      </c>
      <c r="N24" s="168">
        <f t="shared" si="1"/>
        <v>0</v>
      </c>
      <c r="O24" s="95">
        <f ca="1">IF('SVS UnterhaltsRG'!H61="",0,'SVS UnterhaltsRG'!H61)</f>
        <v>0</v>
      </c>
      <c r="P24" s="95">
        <f t="shared" si="2"/>
        <v>0</v>
      </c>
      <c r="Q24" s="95">
        <f t="shared" ca="1" si="3"/>
        <v>0</v>
      </c>
      <c r="R24" s="95">
        <f t="shared" si="4"/>
        <v>0</v>
      </c>
      <c r="S24" s="95">
        <f t="shared" ca="1" si="5"/>
        <v>0</v>
      </c>
      <c r="T24" s="3" t="str">
        <f t="shared" si="6"/>
        <v>Leistungswert eintragen</v>
      </c>
      <c r="U24" s="3">
        <f t="shared" si="7"/>
        <v>0</v>
      </c>
    </row>
    <row r="25" spans="1:21" ht="15" customHeight="1" x14ac:dyDescent="0.2">
      <c r="A25" s="153">
        <v>4</v>
      </c>
      <c r="B25" s="165" t="s">
        <v>542</v>
      </c>
      <c r="C25" s="166" t="s">
        <v>306</v>
      </c>
      <c r="D25" s="166"/>
      <c r="E25" s="166" t="s">
        <v>543</v>
      </c>
      <c r="F25" s="166" t="s">
        <v>287</v>
      </c>
      <c r="G25" s="167">
        <v>21.01</v>
      </c>
      <c r="H25" s="167"/>
      <c r="I25" s="167"/>
      <c r="J25" s="153" t="s">
        <v>402</v>
      </c>
      <c r="K25" s="167">
        <v>2</v>
      </c>
      <c r="L25" s="95">
        <f>VLOOKUP(K25,Reinigungstage!A10:L31,12,FALSE)</f>
        <v>105.26</v>
      </c>
      <c r="M25" s="95">
        <f t="shared" si="0"/>
        <v>2211.5100000000002</v>
      </c>
      <c r="N25" s="168">
        <f t="shared" si="1"/>
        <v>0</v>
      </c>
      <c r="O25" s="95">
        <f ca="1">IF('SVS UnterhaltsRG'!H61="",0,'SVS UnterhaltsRG'!H61)</f>
        <v>0</v>
      </c>
      <c r="P25" s="95">
        <f t="shared" si="2"/>
        <v>0</v>
      </c>
      <c r="Q25" s="95">
        <f t="shared" ca="1" si="3"/>
        <v>0</v>
      </c>
      <c r="R25" s="95">
        <f t="shared" si="4"/>
        <v>0</v>
      </c>
      <c r="S25" s="95">
        <f t="shared" ca="1" si="5"/>
        <v>0</v>
      </c>
      <c r="T25" s="3" t="str">
        <f t="shared" si="6"/>
        <v>Leistungswert eintragen</v>
      </c>
      <c r="U25" s="3">
        <f t="shared" si="7"/>
        <v>0</v>
      </c>
    </row>
    <row r="26" spans="1:21" ht="15" customHeight="1" x14ac:dyDescent="0.2">
      <c r="A26" s="153">
        <v>5</v>
      </c>
      <c r="B26" s="165" t="s">
        <v>544</v>
      </c>
      <c r="C26" s="166" t="s">
        <v>306</v>
      </c>
      <c r="D26" s="166"/>
      <c r="E26" s="166" t="s">
        <v>545</v>
      </c>
      <c r="F26" s="166" t="s">
        <v>287</v>
      </c>
      <c r="G26" s="167">
        <v>11.12</v>
      </c>
      <c r="H26" s="167"/>
      <c r="I26" s="167"/>
      <c r="J26" s="153" t="s">
        <v>402</v>
      </c>
      <c r="K26" s="167">
        <v>2</v>
      </c>
      <c r="L26" s="95">
        <f>VLOOKUP(K26,Reinigungstage!A10:L31,12,FALSE)</f>
        <v>105.26</v>
      </c>
      <c r="M26" s="95">
        <f t="shared" si="0"/>
        <v>1170.49</v>
      </c>
      <c r="N26" s="168">
        <f t="shared" si="1"/>
        <v>0</v>
      </c>
      <c r="O26" s="95">
        <f ca="1">IF('SVS UnterhaltsRG'!H61="",0,'SVS UnterhaltsRG'!H61)</f>
        <v>0</v>
      </c>
      <c r="P26" s="95">
        <f t="shared" si="2"/>
        <v>0</v>
      </c>
      <c r="Q26" s="95">
        <f t="shared" ca="1" si="3"/>
        <v>0</v>
      </c>
      <c r="R26" s="95">
        <f t="shared" si="4"/>
        <v>0</v>
      </c>
      <c r="S26" s="95">
        <f t="shared" ca="1" si="5"/>
        <v>0</v>
      </c>
      <c r="T26" s="3" t="str">
        <f t="shared" si="6"/>
        <v>Leistungswert eintragen</v>
      </c>
      <c r="U26" s="3">
        <f t="shared" si="7"/>
        <v>0</v>
      </c>
    </row>
    <row r="27" spans="1:21" ht="15" customHeight="1" x14ac:dyDescent="0.2">
      <c r="A27" s="153">
        <v>6</v>
      </c>
      <c r="B27" s="165"/>
      <c r="C27" s="166" t="s">
        <v>306</v>
      </c>
      <c r="D27" s="166">
        <v>118</v>
      </c>
      <c r="E27" s="166" t="s">
        <v>288</v>
      </c>
      <c r="F27" s="166" t="s">
        <v>287</v>
      </c>
      <c r="G27" s="167">
        <v>8.4</v>
      </c>
      <c r="H27" s="167"/>
      <c r="I27" s="167"/>
      <c r="J27" s="153" t="s">
        <v>313</v>
      </c>
      <c r="K27" s="167">
        <v>5</v>
      </c>
      <c r="L27" s="95">
        <f>VLOOKUP(K27,Reinigungstage!A10:L31,12,FALSE)</f>
        <v>253.33</v>
      </c>
      <c r="M27" s="95">
        <f t="shared" si="0"/>
        <v>2127.9699999999998</v>
      </c>
      <c r="N27" s="168">
        <f t="shared" si="1"/>
        <v>0</v>
      </c>
      <c r="O27" s="95">
        <f ca="1">IF('SVS UnterhaltsRG'!H61="",0,'SVS UnterhaltsRG'!H61)</f>
        <v>0</v>
      </c>
      <c r="P27" s="95">
        <f t="shared" si="2"/>
        <v>0</v>
      </c>
      <c r="Q27" s="95">
        <f t="shared" ca="1" si="3"/>
        <v>0</v>
      </c>
      <c r="R27" s="95">
        <f t="shared" si="4"/>
        <v>0</v>
      </c>
      <c r="S27" s="95">
        <f t="shared" ca="1" si="5"/>
        <v>0</v>
      </c>
      <c r="T27" s="3" t="str">
        <f t="shared" si="6"/>
        <v>Leistungswert eintragen</v>
      </c>
      <c r="U27" s="3">
        <f t="shared" si="7"/>
        <v>0</v>
      </c>
    </row>
    <row r="28" spans="1:21" ht="15" customHeight="1" x14ac:dyDescent="0.2">
      <c r="A28" s="153">
        <v>7</v>
      </c>
      <c r="B28" s="165" t="s">
        <v>546</v>
      </c>
      <c r="C28" s="166" t="s">
        <v>306</v>
      </c>
      <c r="D28" s="166"/>
      <c r="E28" s="166" t="s">
        <v>547</v>
      </c>
      <c r="F28" s="166" t="s">
        <v>287</v>
      </c>
      <c r="G28" s="167">
        <v>16.489999999999998</v>
      </c>
      <c r="H28" s="167"/>
      <c r="I28" s="167"/>
      <c r="J28" s="153" t="s">
        <v>402</v>
      </c>
      <c r="K28" s="167">
        <v>2</v>
      </c>
      <c r="L28" s="95">
        <f>VLOOKUP(K28,Reinigungstage!A10:L31,12,FALSE)</f>
        <v>105.26</v>
      </c>
      <c r="M28" s="95">
        <f t="shared" si="0"/>
        <v>1735.74</v>
      </c>
      <c r="N28" s="168">
        <f t="shared" si="1"/>
        <v>0</v>
      </c>
      <c r="O28" s="95">
        <f ca="1">IF('SVS UnterhaltsRG'!H61="",0,'SVS UnterhaltsRG'!H61)</f>
        <v>0</v>
      </c>
      <c r="P28" s="95">
        <f t="shared" si="2"/>
        <v>0</v>
      </c>
      <c r="Q28" s="95">
        <f t="shared" ca="1" si="3"/>
        <v>0</v>
      </c>
      <c r="R28" s="95">
        <f t="shared" si="4"/>
        <v>0</v>
      </c>
      <c r="S28" s="95">
        <f t="shared" ca="1" si="5"/>
        <v>0</v>
      </c>
      <c r="T28" s="3" t="str">
        <f t="shared" si="6"/>
        <v>Leistungswert eintragen</v>
      </c>
      <c r="U28" s="3">
        <f t="shared" si="7"/>
        <v>0</v>
      </c>
    </row>
    <row r="29" spans="1:21" ht="15" customHeight="1" x14ac:dyDescent="0.2">
      <c r="A29" s="153">
        <v>8</v>
      </c>
      <c r="B29" s="165" t="s">
        <v>548</v>
      </c>
      <c r="C29" s="166" t="s">
        <v>306</v>
      </c>
      <c r="D29" s="166"/>
      <c r="E29" s="166" t="s">
        <v>496</v>
      </c>
      <c r="F29" s="166" t="s">
        <v>287</v>
      </c>
      <c r="G29" s="167">
        <v>8</v>
      </c>
      <c r="H29" s="167"/>
      <c r="I29" s="167"/>
      <c r="J29" s="153" t="s">
        <v>315</v>
      </c>
      <c r="K29" s="167">
        <v>1</v>
      </c>
      <c r="L29" s="95">
        <f>VLOOKUP(K29,Reinigungstage!A10:L31,12,FALSE)</f>
        <v>52.62</v>
      </c>
      <c r="M29" s="95">
        <f t="shared" si="0"/>
        <v>420.96</v>
      </c>
      <c r="N29" s="168">
        <f t="shared" si="1"/>
        <v>0</v>
      </c>
      <c r="O29" s="95">
        <f ca="1">IF('SVS UnterhaltsRG'!H61="",0,'SVS UnterhaltsRG'!H61)</f>
        <v>0</v>
      </c>
      <c r="P29" s="95">
        <f t="shared" si="2"/>
        <v>0</v>
      </c>
      <c r="Q29" s="95">
        <f t="shared" ca="1" si="3"/>
        <v>0</v>
      </c>
      <c r="R29" s="95">
        <f t="shared" si="4"/>
        <v>0</v>
      </c>
      <c r="S29" s="95">
        <f t="shared" ca="1" si="5"/>
        <v>0</v>
      </c>
      <c r="T29" s="3" t="str">
        <f t="shared" si="6"/>
        <v>Leistungswert eintragen</v>
      </c>
      <c r="U29" s="3">
        <f t="shared" si="7"/>
        <v>0</v>
      </c>
    </row>
    <row r="30" spans="1:21" ht="15" customHeight="1" x14ac:dyDescent="0.2">
      <c r="A30" s="153">
        <v>9</v>
      </c>
      <c r="B30" s="165" t="s">
        <v>549</v>
      </c>
      <c r="C30" s="166" t="s">
        <v>306</v>
      </c>
      <c r="D30" s="166"/>
      <c r="E30" s="166" t="s">
        <v>550</v>
      </c>
      <c r="F30" s="166" t="s">
        <v>287</v>
      </c>
      <c r="G30" s="167">
        <v>14.65</v>
      </c>
      <c r="H30" s="167"/>
      <c r="I30" s="167"/>
      <c r="J30" s="153" t="s">
        <v>402</v>
      </c>
      <c r="K30" s="167">
        <v>2</v>
      </c>
      <c r="L30" s="95">
        <f>VLOOKUP(K30,Reinigungstage!A10:L31,12,FALSE)</f>
        <v>105.26</v>
      </c>
      <c r="M30" s="95">
        <f t="shared" si="0"/>
        <v>1542.06</v>
      </c>
      <c r="N30" s="168">
        <f t="shared" si="1"/>
        <v>0</v>
      </c>
      <c r="O30" s="95">
        <f ca="1">IF('SVS UnterhaltsRG'!H61="",0,'SVS UnterhaltsRG'!H61)</f>
        <v>0</v>
      </c>
      <c r="P30" s="95">
        <f t="shared" si="2"/>
        <v>0</v>
      </c>
      <c r="Q30" s="95">
        <f t="shared" ca="1" si="3"/>
        <v>0</v>
      </c>
      <c r="R30" s="95">
        <f t="shared" si="4"/>
        <v>0</v>
      </c>
      <c r="S30" s="95">
        <f t="shared" ca="1" si="5"/>
        <v>0</v>
      </c>
      <c r="T30" s="3" t="str">
        <f t="shared" si="6"/>
        <v>Leistungswert eintragen</v>
      </c>
      <c r="U30" s="3">
        <f t="shared" si="7"/>
        <v>0</v>
      </c>
    </row>
    <row r="31" spans="1:21" ht="15" customHeight="1" x14ac:dyDescent="0.2">
      <c r="A31" s="153">
        <v>10</v>
      </c>
      <c r="B31" s="165" t="s">
        <v>551</v>
      </c>
      <c r="C31" s="166" t="s">
        <v>306</v>
      </c>
      <c r="D31" s="166"/>
      <c r="E31" s="166" t="s">
        <v>552</v>
      </c>
      <c r="F31" s="166" t="s">
        <v>287</v>
      </c>
      <c r="G31" s="167">
        <v>22.32</v>
      </c>
      <c r="H31" s="167"/>
      <c r="I31" s="167"/>
      <c r="J31" s="153" t="s">
        <v>402</v>
      </c>
      <c r="K31" s="167">
        <v>2</v>
      </c>
      <c r="L31" s="95">
        <f>VLOOKUP(K31,Reinigungstage!A10:L31,12,FALSE)</f>
        <v>105.26</v>
      </c>
      <c r="M31" s="95">
        <f t="shared" si="0"/>
        <v>2349.4</v>
      </c>
      <c r="N31" s="168">
        <f t="shared" si="1"/>
        <v>0</v>
      </c>
      <c r="O31" s="95">
        <f ca="1">IF('SVS UnterhaltsRG'!H61="",0,'SVS UnterhaltsRG'!H61)</f>
        <v>0</v>
      </c>
      <c r="P31" s="95">
        <f t="shared" si="2"/>
        <v>0</v>
      </c>
      <c r="Q31" s="95">
        <f t="shared" ca="1" si="3"/>
        <v>0</v>
      </c>
      <c r="R31" s="95">
        <f t="shared" si="4"/>
        <v>0</v>
      </c>
      <c r="S31" s="95">
        <f t="shared" ca="1" si="5"/>
        <v>0</v>
      </c>
      <c r="T31" s="3" t="str">
        <f t="shared" si="6"/>
        <v>Leistungswert eintragen</v>
      </c>
      <c r="U31" s="3">
        <f t="shared" si="7"/>
        <v>0</v>
      </c>
    </row>
    <row r="32" spans="1:21" ht="15" customHeight="1" x14ac:dyDescent="0.2">
      <c r="A32" s="153">
        <v>11</v>
      </c>
      <c r="B32" s="165"/>
      <c r="C32" s="166" t="s">
        <v>306</v>
      </c>
      <c r="D32" s="166">
        <v>112</v>
      </c>
      <c r="E32" s="166" t="s">
        <v>288</v>
      </c>
      <c r="F32" s="166" t="s">
        <v>287</v>
      </c>
      <c r="G32" s="167">
        <v>8.9600000000000009</v>
      </c>
      <c r="H32" s="167"/>
      <c r="I32" s="167"/>
      <c r="J32" s="153" t="s">
        <v>313</v>
      </c>
      <c r="K32" s="167">
        <v>5</v>
      </c>
      <c r="L32" s="95">
        <f>VLOOKUP(K32,Reinigungstage!A10:L31,12,FALSE)</f>
        <v>253.33</v>
      </c>
      <c r="M32" s="95">
        <f t="shared" si="0"/>
        <v>2269.84</v>
      </c>
      <c r="N32" s="168">
        <f t="shared" si="1"/>
        <v>0</v>
      </c>
      <c r="O32" s="95">
        <f ca="1">IF('SVS UnterhaltsRG'!H61="",0,'SVS UnterhaltsRG'!H61)</f>
        <v>0</v>
      </c>
      <c r="P32" s="95">
        <f t="shared" si="2"/>
        <v>0</v>
      </c>
      <c r="Q32" s="95">
        <f t="shared" ca="1" si="3"/>
        <v>0</v>
      </c>
      <c r="R32" s="95">
        <f t="shared" si="4"/>
        <v>0</v>
      </c>
      <c r="S32" s="95">
        <f t="shared" ca="1" si="5"/>
        <v>0</v>
      </c>
      <c r="T32" s="3" t="str">
        <f t="shared" si="6"/>
        <v>Leistungswert eintragen</v>
      </c>
      <c r="U32" s="3">
        <f t="shared" si="7"/>
        <v>0</v>
      </c>
    </row>
    <row r="33" spans="1:21" ht="15" customHeight="1" x14ac:dyDescent="0.2">
      <c r="A33" s="153">
        <v>12</v>
      </c>
      <c r="B33" s="165"/>
      <c r="C33" s="166" t="s">
        <v>306</v>
      </c>
      <c r="D33" s="166">
        <v>112</v>
      </c>
      <c r="E33" s="166" t="s">
        <v>310</v>
      </c>
      <c r="F33" s="166" t="s">
        <v>280</v>
      </c>
      <c r="G33" s="167">
        <v>2.5099999999999998</v>
      </c>
      <c r="H33" s="167"/>
      <c r="I33" s="167"/>
      <c r="J33" s="153" t="s">
        <v>310</v>
      </c>
      <c r="K33" s="167">
        <v>5</v>
      </c>
      <c r="L33" s="95">
        <f>VLOOKUP(K33,Reinigungstage!A10:L31,12,FALSE)</f>
        <v>253.33</v>
      </c>
      <c r="M33" s="95">
        <f t="shared" si="0"/>
        <v>635.86</v>
      </c>
      <c r="N33" s="168">
        <f t="shared" si="1"/>
        <v>0</v>
      </c>
      <c r="O33" s="95">
        <f ca="1">IF('SVS UnterhaltsRG'!H61="",0,'SVS UnterhaltsRG'!H61)</f>
        <v>0</v>
      </c>
      <c r="P33" s="95">
        <f t="shared" si="2"/>
        <v>0</v>
      </c>
      <c r="Q33" s="95">
        <f t="shared" ca="1" si="3"/>
        <v>0</v>
      </c>
      <c r="R33" s="95">
        <f t="shared" si="4"/>
        <v>0</v>
      </c>
      <c r="S33" s="95">
        <f t="shared" ca="1" si="5"/>
        <v>0</v>
      </c>
      <c r="T33" s="3" t="str">
        <f t="shared" si="6"/>
        <v>Leistungswert eintragen</v>
      </c>
      <c r="U33" s="3">
        <f t="shared" si="7"/>
        <v>0</v>
      </c>
    </row>
    <row r="34" spans="1:21" ht="15" customHeight="1" x14ac:dyDescent="0.2">
      <c r="A34" s="153">
        <v>13</v>
      </c>
      <c r="B34" s="165"/>
      <c r="C34" s="166" t="s">
        <v>306</v>
      </c>
      <c r="D34" s="166"/>
      <c r="E34" s="166" t="s">
        <v>309</v>
      </c>
      <c r="F34" s="166" t="s">
        <v>287</v>
      </c>
      <c r="G34" s="167">
        <v>2.78</v>
      </c>
      <c r="H34" s="167"/>
      <c r="I34" s="167"/>
      <c r="J34" s="153" t="s">
        <v>310</v>
      </c>
      <c r="K34" s="167">
        <v>5</v>
      </c>
      <c r="L34" s="95">
        <f>VLOOKUP(K34,Reinigungstage!A10:L31,12,FALSE)</f>
        <v>253.33</v>
      </c>
      <c r="M34" s="95">
        <f t="shared" si="0"/>
        <v>704.26</v>
      </c>
      <c r="N34" s="168">
        <f t="shared" si="1"/>
        <v>0</v>
      </c>
      <c r="O34" s="95">
        <f ca="1">IF('SVS UnterhaltsRG'!H61="",0,'SVS UnterhaltsRG'!H61)</f>
        <v>0</v>
      </c>
      <c r="P34" s="95">
        <f t="shared" si="2"/>
        <v>0</v>
      </c>
      <c r="Q34" s="95">
        <f t="shared" ca="1" si="3"/>
        <v>0</v>
      </c>
      <c r="R34" s="95">
        <f t="shared" si="4"/>
        <v>0</v>
      </c>
      <c r="S34" s="95">
        <f t="shared" ca="1" si="5"/>
        <v>0</v>
      </c>
      <c r="T34" s="3" t="str">
        <f t="shared" si="6"/>
        <v>Leistungswert eintragen</v>
      </c>
      <c r="U34" s="3">
        <f t="shared" si="7"/>
        <v>0</v>
      </c>
    </row>
    <row r="35" spans="1:21" ht="15" customHeight="1" x14ac:dyDescent="0.2">
      <c r="A35" s="153">
        <v>14</v>
      </c>
      <c r="B35" s="165"/>
      <c r="C35" s="166" t="s">
        <v>306</v>
      </c>
      <c r="D35" s="166"/>
      <c r="E35" s="166" t="s">
        <v>310</v>
      </c>
      <c r="F35" s="166" t="s">
        <v>553</v>
      </c>
      <c r="G35" s="167">
        <v>9.19</v>
      </c>
      <c r="H35" s="167"/>
      <c r="I35" s="167"/>
      <c r="J35" s="153" t="s">
        <v>310</v>
      </c>
      <c r="K35" s="167">
        <v>5</v>
      </c>
      <c r="L35" s="95">
        <f>VLOOKUP(K35,Reinigungstage!A10:L31,12,FALSE)</f>
        <v>253.33</v>
      </c>
      <c r="M35" s="95">
        <f t="shared" si="0"/>
        <v>2328.1</v>
      </c>
      <c r="N35" s="168">
        <f t="shared" si="1"/>
        <v>0</v>
      </c>
      <c r="O35" s="95">
        <f ca="1">IF('SVS UnterhaltsRG'!H61="",0,'SVS UnterhaltsRG'!H61)</f>
        <v>0</v>
      </c>
      <c r="P35" s="95">
        <f t="shared" si="2"/>
        <v>0</v>
      </c>
      <c r="Q35" s="95">
        <f t="shared" ca="1" si="3"/>
        <v>0</v>
      </c>
      <c r="R35" s="95">
        <f t="shared" si="4"/>
        <v>0</v>
      </c>
      <c r="S35" s="95">
        <f t="shared" ca="1" si="5"/>
        <v>0</v>
      </c>
      <c r="T35" s="3" t="str">
        <f t="shared" si="6"/>
        <v>Leistungswert eintragen</v>
      </c>
      <c r="U35" s="3">
        <f t="shared" si="7"/>
        <v>0</v>
      </c>
    </row>
    <row r="36" spans="1:21" ht="15" customHeight="1" x14ac:dyDescent="0.2">
      <c r="A36" s="153">
        <v>15</v>
      </c>
      <c r="B36" s="165" t="s">
        <v>505</v>
      </c>
      <c r="C36" s="166" t="s">
        <v>276</v>
      </c>
      <c r="D36" s="166"/>
      <c r="E36" s="166" t="s">
        <v>554</v>
      </c>
      <c r="F36" s="166" t="s">
        <v>287</v>
      </c>
      <c r="G36" s="167">
        <v>29.72</v>
      </c>
      <c r="H36" s="167"/>
      <c r="I36" s="167"/>
      <c r="J36" s="153" t="s">
        <v>402</v>
      </c>
      <c r="K36" s="167">
        <v>2</v>
      </c>
      <c r="L36" s="95">
        <f>VLOOKUP(K36,Reinigungstage!A10:L31,12,FALSE)</f>
        <v>105.26</v>
      </c>
      <c r="M36" s="95">
        <f t="shared" si="0"/>
        <v>3128.33</v>
      </c>
      <c r="N36" s="168">
        <f t="shared" si="1"/>
        <v>0</v>
      </c>
      <c r="O36" s="95">
        <f ca="1">IF('SVS UnterhaltsRG'!H61="",0,'SVS UnterhaltsRG'!H61)</f>
        <v>0</v>
      </c>
      <c r="P36" s="95">
        <f t="shared" si="2"/>
        <v>0</v>
      </c>
      <c r="Q36" s="95">
        <f t="shared" ca="1" si="3"/>
        <v>0</v>
      </c>
      <c r="R36" s="95">
        <f t="shared" si="4"/>
        <v>0</v>
      </c>
      <c r="S36" s="95">
        <f t="shared" ca="1" si="5"/>
        <v>0</v>
      </c>
      <c r="T36" s="3" t="str">
        <f t="shared" si="6"/>
        <v>Leistungswert eintragen</v>
      </c>
      <c r="U36" s="3">
        <f t="shared" si="7"/>
        <v>0</v>
      </c>
    </row>
    <row r="37" spans="1:21" ht="15" customHeight="1" x14ac:dyDescent="0.2">
      <c r="A37" s="153">
        <v>16</v>
      </c>
      <c r="B37" s="165"/>
      <c r="C37" s="166" t="s">
        <v>276</v>
      </c>
      <c r="D37" s="166">
        <v>3</v>
      </c>
      <c r="E37" s="166" t="s">
        <v>339</v>
      </c>
      <c r="F37" s="166" t="s">
        <v>287</v>
      </c>
      <c r="G37" s="167">
        <v>5.42</v>
      </c>
      <c r="H37" s="167"/>
      <c r="I37" s="167"/>
      <c r="J37" s="153" t="s">
        <v>312</v>
      </c>
      <c r="K37" s="153" t="s">
        <v>162</v>
      </c>
      <c r="L37" s="95">
        <f>VLOOKUP(K37,Reinigungstage!A10:L31,12,FALSE)</f>
        <v>12</v>
      </c>
      <c r="M37" s="95">
        <f t="shared" si="0"/>
        <v>65.040000000000006</v>
      </c>
      <c r="N37" s="168">
        <f t="shared" si="1"/>
        <v>0</v>
      </c>
      <c r="O37" s="95">
        <f ca="1">IF('SVS UnterhaltsRG'!H61="",0,'SVS UnterhaltsRG'!H61)</f>
        <v>0</v>
      </c>
      <c r="P37" s="95">
        <f t="shared" si="2"/>
        <v>0</v>
      </c>
      <c r="Q37" s="95">
        <f t="shared" ca="1" si="3"/>
        <v>0</v>
      </c>
      <c r="R37" s="95">
        <f t="shared" si="4"/>
        <v>0</v>
      </c>
      <c r="S37" s="95">
        <f t="shared" ca="1" si="5"/>
        <v>0</v>
      </c>
      <c r="T37" s="3" t="str">
        <f t="shared" si="6"/>
        <v>Leistungswert eintragen</v>
      </c>
      <c r="U37" s="3">
        <f t="shared" si="7"/>
        <v>0</v>
      </c>
    </row>
    <row r="38" spans="1:21" ht="15" customHeight="1" x14ac:dyDescent="0.2">
      <c r="A38" s="153">
        <v>17</v>
      </c>
      <c r="B38" s="165"/>
      <c r="C38" s="166" t="s">
        <v>276</v>
      </c>
      <c r="D38" s="166" t="s">
        <v>555</v>
      </c>
      <c r="E38" s="166" t="s">
        <v>295</v>
      </c>
      <c r="F38" s="166" t="s">
        <v>293</v>
      </c>
      <c r="G38" s="167">
        <v>7.57</v>
      </c>
      <c r="H38" s="167"/>
      <c r="I38" s="167"/>
      <c r="J38" s="153" t="s">
        <v>314</v>
      </c>
      <c r="K38" s="167">
        <v>5</v>
      </c>
      <c r="L38" s="95">
        <f>VLOOKUP(K38,Reinigungstage!A10:L31,12,FALSE)</f>
        <v>253.33</v>
      </c>
      <c r="M38" s="95">
        <f t="shared" si="0"/>
        <v>1917.71</v>
      </c>
      <c r="N38" s="168">
        <f t="shared" si="1"/>
        <v>0</v>
      </c>
      <c r="O38" s="95">
        <f ca="1">IF('SVS UnterhaltsRG'!H61="",0,'SVS UnterhaltsRG'!H61)</f>
        <v>0</v>
      </c>
      <c r="P38" s="95">
        <f t="shared" si="2"/>
        <v>0</v>
      </c>
      <c r="Q38" s="95">
        <f t="shared" ca="1" si="3"/>
        <v>0</v>
      </c>
      <c r="R38" s="95">
        <f t="shared" si="4"/>
        <v>0</v>
      </c>
      <c r="S38" s="95">
        <f t="shared" ca="1" si="5"/>
        <v>0</v>
      </c>
      <c r="T38" s="3" t="str">
        <f t="shared" si="6"/>
        <v>Leistungswert eintragen</v>
      </c>
      <c r="U38" s="3">
        <f t="shared" si="7"/>
        <v>0</v>
      </c>
    </row>
    <row r="39" spans="1:21" ht="15" customHeight="1" x14ac:dyDescent="0.2">
      <c r="A39" s="153">
        <v>18</v>
      </c>
      <c r="B39" s="165"/>
      <c r="C39" s="166" t="s">
        <v>276</v>
      </c>
      <c r="D39" s="166" t="s">
        <v>556</v>
      </c>
      <c r="E39" s="166" t="s">
        <v>295</v>
      </c>
      <c r="F39" s="166" t="s">
        <v>293</v>
      </c>
      <c r="G39" s="167">
        <v>4.24</v>
      </c>
      <c r="H39" s="167"/>
      <c r="I39" s="167"/>
      <c r="J39" s="153" t="s">
        <v>314</v>
      </c>
      <c r="K39" s="167">
        <v>5</v>
      </c>
      <c r="L39" s="95">
        <f>VLOOKUP(K39,Reinigungstage!A10:L31,12,FALSE)</f>
        <v>253.33</v>
      </c>
      <c r="M39" s="95">
        <f t="shared" si="0"/>
        <v>1074.1199999999999</v>
      </c>
      <c r="N39" s="168">
        <f t="shared" si="1"/>
        <v>0</v>
      </c>
      <c r="O39" s="95">
        <f ca="1">IF('SVS UnterhaltsRG'!H61="",0,'SVS UnterhaltsRG'!H61)</f>
        <v>0</v>
      </c>
      <c r="P39" s="95">
        <f t="shared" si="2"/>
        <v>0</v>
      </c>
      <c r="Q39" s="95">
        <f t="shared" ca="1" si="3"/>
        <v>0</v>
      </c>
      <c r="R39" s="95">
        <f t="shared" si="4"/>
        <v>0</v>
      </c>
      <c r="S39" s="95">
        <f t="shared" ca="1" si="5"/>
        <v>0</v>
      </c>
      <c r="T39" s="3" t="str">
        <f t="shared" si="6"/>
        <v>Leistungswert eintragen</v>
      </c>
      <c r="U39" s="3">
        <f t="shared" si="7"/>
        <v>0</v>
      </c>
    </row>
    <row r="40" spans="1:21" ht="15" customHeight="1" x14ac:dyDescent="0.2">
      <c r="A40" s="153">
        <v>19</v>
      </c>
      <c r="B40" s="165"/>
      <c r="C40" s="166" t="s">
        <v>276</v>
      </c>
      <c r="D40" s="166"/>
      <c r="E40" s="166" t="s">
        <v>288</v>
      </c>
      <c r="F40" s="166" t="s">
        <v>293</v>
      </c>
      <c r="G40" s="167">
        <v>2.2799999999999998</v>
      </c>
      <c r="H40" s="167"/>
      <c r="I40" s="167"/>
      <c r="J40" s="153" t="s">
        <v>313</v>
      </c>
      <c r="K40" s="167">
        <v>5</v>
      </c>
      <c r="L40" s="95">
        <f>VLOOKUP(K40,Reinigungstage!A10:L31,12,FALSE)</f>
        <v>253.33</v>
      </c>
      <c r="M40" s="95">
        <f t="shared" si="0"/>
        <v>577.59</v>
      </c>
      <c r="N40" s="168">
        <f t="shared" si="1"/>
        <v>0</v>
      </c>
      <c r="O40" s="95">
        <f ca="1">IF('SVS UnterhaltsRG'!H61="",0,'SVS UnterhaltsRG'!H61)</f>
        <v>0</v>
      </c>
      <c r="P40" s="95">
        <f t="shared" si="2"/>
        <v>0</v>
      </c>
      <c r="Q40" s="95">
        <f t="shared" ca="1" si="3"/>
        <v>0</v>
      </c>
      <c r="R40" s="95">
        <f t="shared" si="4"/>
        <v>0</v>
      </c>
      <c r="S40" s="95">
        <f t="shared" ca="1" si="5"/>
        <v>0</v>
      </c>
      <c r="T40" s="3" t="str">
        <f t="shared" si="6"/>
        <v>Leistungswert eintragen</v>
      </c>
      <c r="U40" s="3">
        <f t="shared" si="7"/>
        <v>0</v>
      </c>
    </row>
    <row r="41" spans="1:21" ht="15" customHeight="1" x14ac:dyDescent="0.2">
      <c r="A41" s="153">
        <v>20</v>
      </c>
      <c r="B41" s="165"/>
      <c r="C41" s="166" t="s">
        <v>276</v>
      </c>
      <c r="D41" s="166"/>
      <c r="E41" s="166" t="s">
        <v>557</v>
      </c>
      <c r="F41" s="166" t="s">
        <v>287</v>
      </c>
      <c r="G41" s="167">
        <v>26.89</v>
      </c>
      <c r="H41" s="167"/>
      <c r="I41" s="167">
        <v>2</v>
      </c>
      <c r="J41" s="153" t="s">
        <v>402</v>
      </c>
      <c r="K41" s="167">
        <v>2</v>
      </c>
      <c r="L41" s="95">
        <f>VLOOKUP(K41,Reinigungstage!A10:L31,12,FALSE)</f>
        <v>105.26</v>
      </c>
      <c r="M41" s="95">
        <f t="shared" si="0"/>
        <v>2830.44</v>
      </c>
      <c r="N41" s="168">
        <f t="shared" si="1"/>
        <v>0</v>
      </c>
      <c r="O41" s="95">
        <f ca="1">IF('SVS UnterhaltsRG'!H61="",0,'SVS UnterhaltsRG'!H61)</f>
        <v>0</v>
      </c>
      <c r="P41" s="95">
        <f t="shared" si="2"/>
        <v>0</v>
      </c>
      <c r="Q41" s="95">
        <f t="shared" ca="1" si="3"/>
        <v>0</v>
      </c>
      <c r="R41" s="95">
        <f t="shared" si="4"/>
        <v>0</v>
      </c>
      <c r="S41" s="95">
        <f t="shared" ca="1" si="5"/>
        <v>0</v>
      </c>
      <c r="T41" s="3" t="str">
        <f t="shared" si="6"/>
        <v>Leistungswert eintragen</v>
      </c>
      <c r="U41" s="3">
        <f t="shared" si="7"/>
        <v>0</v>
      </c>
    </row>
    <row r="42" spans="1:21" ht="15" customHeight="1" x14ac:dyDescent="0.2">
      <c r="A42" s="153">
        <v>21</v>
      </c>
      <c r="B42" s="165"/>
      <c r="C42" s="166" t="s">
        <v>276</v>
      </c>
      <c r="D42" s="166"/>
      <c r="E42" s="166" t="s">
        <v>402</v>
      </c>
      <c r="F42" s="166" t="s">
        <v>287</v>
      </c>
      <c r="G42" s="167">
        <v>10.23</v>
      </c>
      <c r="H42" s="167"/>
      <c r="I42" s="167"/>
      <c r="J42" s="153" t="s">
        <v>402</v>
      </c>
      <c r="K42" s="167">
        <v>2</v>
      </c>
      <c r="L42" s="95">
        <f>VLOOKUP(K42,Reinigungstage!A10:L31,12,FALSE)</f>
        <v>105.26</v>
      </c>
      <c r="M42" s="95">
        <f t="shared" si="0"/>
        <v>1076.81</v>
      </c>
      <c r="N42" s="168">
        <f t="shared" si="1"/>
        <v>0</v>
      </c>
      <c r="O42" s="95">
        <f ca="1">IF('SVS UnterhaltsRG'!H61="",0,'SVS UnterhaltsRG'!H61)</f>
        <v>0</v>
      </c>
      <c r="P42" s="95">
        <f t="shared" si="2"/>
        <v>0</v>
      </c>
      <c r="Q42" s="95">
        <f t="shared" ca="1" si="3"/>
        <v>0</v>
      </c>
      <c r="R42" s="95">
        <f t="shared" si="4"/>
        <v>0</v>
      </c>
      <c r="S42" s="95">
        <f t="shared" ca="1" si="5"/>
        <v>0</v>
      </c>
      <c r="T42" s="3" t="str">
        <f t="shared" si="6"/>
        <v>Leistungswert eintragen</v>
      </c>
      <c r="U42" s="3">
        <f t="shared" si="7"/>
        <v>0</v>
      </c>
    </row>
    <row r="43" spans="1:21" ht="15" customHeight="1" x14ac:dyDescent="0.2">
      <c r="A43" s="153">
        <v>22</v>
      </c>
      <c r="B43" s="165"/>
      <c r="C43" s="166" t="s">
        <v>276</v>
      </c>
      <c r="D43" s="166"/>
      <c r="E43" s="166" t="s">
        <v>339</v>
      </c>
      <c r="F43" s="166" t="s">
        <v>287</v>
      </c>
      <c r="G43" s="167">
        <v>5.65</v>
      </c>
      <c r="H43" s="167"/>
      <c r="I43" s="167"/>
      <c r="J43" s="153" t="s">
        <v>312</v>
      </c>
      <c r="K43" s="153" t="s">
        <v>162</v>
      </c>
      <c r="L43" s="95">
        <f>VLOOKUP(K43,Reinigungstage!A10:L31,12,FALSE)</f>
        <v>12</v>
      </c>
      <c r="M43" s="95">
        <f t="shared" si="0"/>
        <v>67.8</v>
      </c>
      <c r="N43" s="168">
        <f t="shared" si="1"/>
        <v>0</v>
      </c>
      <c r="O43" s="95">
        <f ca="1">IF('SVS UnterhaltsRG'!H61="",0,'SVS UnterhaltsRG'!H61)</f>
        <v>0</v>
      </c>
      <c r="P43" s="95">
        <f t="shared" si="2"/>
        <v>0</v>
      </c>
      <c r="Q43" s="95">
        <f t="shared" ca="1" si="3"/>
        <v>0</v>
      </c>
      <c r="R43" s="95">
        <f t="shared" si="4"/>
        <v>0</v>
      </c>
      <c r="S43" s="95">
        <f t="shared" ca="1" si="5"/>
        <v>0</v>
      </c>
      <c r="T43" s="3" t="str">
        <f t="shared" si="6"/>
        <v>Leistungswert eintragen</v>
      </c>
      <c r="U43" s="3">
        <f t="shared" si="7"/>
        <v>0</v>
      </c>
    </row>
    <row r="44" spans="1:21" ht="15" customHeight="1" x14ac:dyDescent="0.2">
      <c r="A44" s="153">
        <v>23</v>
      </c>
      <c r="B44" s="165"/>
      <c r="C44" s="166" t="s">
        <v>276</v>
      </c>
      <c r="D44" s="166"/>
      <c r="E44" s="166" t="s">
        <v>558</v>
      </c>
      <c r="F44" s="166" t="s">
        <v>287</v>
      </c>
      <c r="G44" s="167">
        <v>12.36</v>
      </c>
      <c r="H44" s="167"/>
      <c r="I44" s="167"/>
      <c r="J44" s="153" t="s">
        <v>404</v>
      </c>
      <c r="K44" s="167">
        <v>5</v>
      </c>
      <c r="L44" s="95">
        <f>VLOOKUP(K44,Reinigungstage!A10:L31,12,FALSE)</f>
        <v>253.33</v>
      </c>
      <c r="M44" s="95">
        <f t="shared" si="0"/>
        <v>3131.16</v>
      </c>
      <c r="N44" s="168">
        <f t="shared" si="1"/>
        <v>0</v>
      </c>
      <c r="O44" s="95">
        <f ca="1">IF('SVS UnterhaltsRG'!H61="",0,'SVS UnterhaltsRG'!H61)</f>
        <v>0</v>
      </c>
      <c r="P44" s="95">
        <f t="shared" si="2"/>
        <v>0</v>
      </c>
      <c r="Q44" s="95">
        <f t="shared" ca="1" si="3"/>
        <v>0</v>
      </c>
      <c r="R44" s="95">
        <f t="shared" si="4"/>
        <v>0</v>
      </c>
      <c r="S44" s="95">
        <f t="shared" ca="1" si="5"/>
        <v>0</v>
      </c>
      <c r="T44" s="3" t="str">
        <f t="shared" si="6"/>
        <v>Leistungswert eintragen</v>
      </c>
      <c r="U44" s="3">
        <f t="shared" si="7"/>
        <v>0</v>
      </c>
    </row>
    <row r="45" spans="1:21" ht="15" customHeight="1" x14ac:dyDescent="0.2">
      <c r="A45" s="153">
        <v>24</v>
      </c>
      <c r="B45" s="165"/>
      <c r="C45" s="166" t="s">
        <v>276</v>
      </c>
      <c r="D45" s="166"/>
      <c r="E45" s="166" t="s">
        <v>402</v>
      </c>
      <c r="F45" s="166" t="s">
        <v>287</v>
      </c>
      <c r="G45" s="167">
        <v>20.97</v>
      </c>
      <c r="H45" s="167"/>
      <c r="I45" s="167"/>
      <c r="J45" s="153" t="s">
        <v>402</v>
      </c>
      <c r="K45" s="167">
        <v>2</v>
      </c>
      <c r="L45" s="95">
        <f>VLOOKUP(K45,Reinigungstage!A10:L31,12,FALSE)</f>
        <v>105.26</v>
      </c>
      <c r="M45" s="95">
        <f t="shared" si="0"/>
        <v>2207.3000000000002</v>
      </c>
      <c r="N45" s="168">
        <f t="shared" si="1"/>
        <v>0</v>
      </c>
      <c r="O45" s="95">
        <f ca="1">IF('SVS UnterhaltsRG'!H61="",0,'SVS UnterhaltsRG'!H61)</f>
        <v>0</v>
      </c>
      <c r="P45" s="95">
        <f t="shared" si="2"/>
        <v>0</v>
      </c>
      <c r="Q45" s="95">
        <f t="shared" ca="1" si="3"/>
        <v>0</v>
      </c>
      <c r="R45" s="95">
        <f t="shared" si="4"/>
        <v>0</v>
      </c>
      <c r="S45" s="95">
        <f t="shared" ca="1" si="5"/>
        <v>0</v>
      </c>
      <c r="T45" s="3" t="str">
        <f t="shared" si="6"/>
        <v>Leistungswert eintragen</v>
      </c>
      <c r="U45" s="3">
        <f t="shared" si="7"/>
        <v>0</v>
      </c>
    </row>
    <row r="46" spans="1:21" ht="15" customHeight="1" x14ac:dyDescent="0.2">
      <c r="A46" s="153">
        <v>25</v>
      </c>
      <c r="B46" s="165"/>
      <c r="C46" s="166" t="s">
        <v>276</v>
      </c>
      <c r="D46" s="166"/>
      <c r="E46" s="166" t="s">
        <v>288</v>
      </c>
      <c r="F46" s="166" t="s">
        <v>553</v>
      </c>
      <c r="G46" s="167">
        <v>12.85</v>
      </c>
      <c r="H46" s="167"/>
      <c r="I46" s="167"/>
      <c r="J46" s="153" t="s">
        <v>313</v>
      </c>
      <c r="K46" s="167">
        <v>5</v>
      </c>
      <c r="L46" s="95">
        <f>VLOOKUP(K46,Reinigungstage!A10:L31,12,FALSE)</f>
        <v>253.33</v>
      </c>
      <c r="M46" s="95">
        <f t="shared" si="0"/>
        <v>3255.29</v>
      </c>
      <c r="N46" s="168">
        <f t="shared" si="1"/>
        <v>0</v>
      </c>
      <c r="O46" s="95">
        <f ca="1">IF('SVS UnterhaltsRG'!H61="",0,'SVS UnterhaltsRG'!H61)</f>
        <v>0</v>
      </c>
      <c r="P46" s="95">
        <f t="shared" si="2"/>
        <v>0</v>
      </c>
      <c r="Q46" s="95">
        <f t="shared" ca="1" si="3"/>
        <v>0</v>
      </c>
      <c r="R46" s="95">
        <f t="shared" si="4"/>
        <v>0</v>
      </c>
      <c r="S46" s="95">
        <f t="shared" ca="1" si="5"/>
        <v>0</v>
      </c>
      <c r="T46" s="3" t="str">
        <f t="shared" si="6"/>
        <v>Leistungswert eintragen</v>
      </c>
      <c r="U46" s="3">
        <f t="shared" si="7"/>
        <v>0</v>
      </c>
    </row>
    <row r="47" spans="1:21" ht="15" customHeight="1" x14ac:dyDescent="0.2">
      <c r="A47" s="153">
        <v>26</v>
      </c>
      <c r="B47" s="165"/>
      <c r="C47" s="166" t="s">
        <v>276</v>
      </c>
      <c r="D47" s="166" t="s">
        <v>559</v>
      </c>
      <c r="E47" s="166" t="s">
        <v>283</v>
      </c>
      <c r="F47" s="166" t="s">
        <v>560</v>
      </c>
      <c r="G47" s="167">
        <v>4.3899999999999997</v>
      </c>
      <c r="H47" s="167"/>
      <c r="I47" s="167"/>
      <c r="J47" s="153" t="s">
        <v>313</v>
      </c>
      <c r="K47" s="167">
        <v>5</v>
      </c>
      <c r="L47" s="95">
        <f>VLOOKUP(K47,Reinigungstage!A10:L31,12,FALSE)</f>
        <v>253.33</v>
      </c>
      <c r="M47" s="95">
        <f t="shared" si="0"/>
        <v>1112.1199999999999</v>
      </c>
      <c r="N47" s="168">
        <f t="shared" si="1"/>
        <v>0</v>
      </c>
      <c r="O47" s="95">
        <f ca="1">IF('SVS UnterhaltsRG'!H61="",0,'SVS UnterhaltsRG'!H61)</f>
        <v>0</v>
      </c>
      <c r="P47" s="95">
        <f t="shared" si="2"/>
        <v>0</v>
      </c>
      <c r="Q47" s="95">
        <f t="shared" ca="1" si="3"/>
        <v>0</v>
      </c>
      <c r="R47" s="95">
        <f t="shared" si="4"/>
        <v>0</v>
      </c>
      <c r="S47" s="95">
        <f t="shared" ca="1" si="5"/>
        <v>0</v>
      </c>
      <c r="T47" s="3" t="str">
        <f t="shared" si="6"/>
        <v>Leistungswert eintragen</v>
      </c>
      <c r="U47" s="3">
        <f t="shared" si="7"/>
        <v>0</v>
      </c>
    </row>
  </sheetData>
  <sheetProtection algorithmName="SHA-512" hashValue="fJnIKKhkQpsqqdjwT+s4rldEP6Gi6lLuLZU/iEclOWsTiokb6ZT8N5tnZjBXbQfWl04D9uokybBEVDi8nTUUyQ==" saltValue="tqozjmDdg3+xp6XgEaUMjg==" spinCount="100000" sheet="1" objects="1" scenarios="1"/>
  <sortState xmlns:xlrd2="http://schemas.microsoft.com/office/spreadsheetml/2017/richdata2" ref="U4:U10">
    <sortCondition ref="U4"/>
  </sortState>
  <mergeCells count="16">
    <mergeCell ref="B13:E13"/>
    <mergeCell ref="B4:E5"/>
    <mergeCell ref="B6:E6"/>
    <mergeCell ref="B7:E7"/>
    <mergeCell ref="B8:E8"/>
    <mergeCell ref="B9:E9"/>
    <mergeCell ref="B10:E10"/>
    <mergeCell ref="B11:E11"/>
    <mergeCell ref="B12:E12"/>
    <mergeCell ref="N2:Q5"/>
    <mergeCell ref="A4:A5"/>
    <mergeCell ref="A2:E2"/>
    <mergeCell ref="G2:G3"/>
    <mergeCell ref="H2:H3"/>
    <mergeCell ref="I2:I3"/>
    <mergeCell ref="J2:J3"/>
  </mergeCells>
  <conditionalFormatting sqref="T22:T47">
    <cfRule type="containsText" dxfId="104" priority="1" stopIfTrue="1" operator="containsText" text="SVS prüfen">
      <formula>NOT(ISERROR(SEARCH("SVS prüfen",T22)))</formula>
    </cfRule>
    <cfRule type="containsText" dxfId="103" priority="2" stopIfTrue="1" operator="containsText" text="Leistungswert eintragen">
      <formula>NOT(ISERROR(SEARCH("Leistungswert eintragen",T22)))</formula>
    </cfRule>
  </conditionalFormatting>
  <hyperlinks>
    <hyperlink ref="M1" location="Inhaltsverzeichnis!A1" display="Zurück zum Inhaltsverzeichnis" xr:uid="{B29735E1-C2FF-4351-AE07-BE724DC9B4C3}"/>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&amp;RKal Unter Verwaltung I&amp;LStadt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sizeWithCells="1">
                  <from>
                    <xdr:col>12</xdr:col>
                    <xdr:colOff>19050</xdr:colOff>
                    <xdr:row>1</xdr:row>
                    <xdr:rowOff>38100</xdr:rowOff>
                  </from>
                  <to>
                    <xdr:col>12</xdr:col>
                    <xdr:colOff>809625</xdr:colOff>
                    <xdr:row>2</xdr:row>
                    <xdr:rowOff>19050</xdr:rowOff>
                  </to>
                </anchor>
              </controlPr>
            </control>
          </mc:Choice>
        </mc:AlternateContent>
        <mc:AlternateContent xmlns:mc="http://schemas.openxmlformats.org/markup-compatibility/2006">
          <mc:Choice Requires="x14">
            <control shapeId="99330" r:id="rId5" name="Check Box 2">
              <controlPr defaultSize="0" autoFill="0" autoLine="0" autoPict="0" altText="Hinweis 2">
                <anchor moveWithCells="1" sizeWithCells="1">
                  <from>
                    <xdr:col>12</xdr:col>
                    <xdr:colOff>19050</xdr:colOff>
                    <xdr:row>2</xdr:row>
                    <xdr:rowOff>19050</xdr:rowOff>
                  </from>
                  <to>
                    <xdr:col>12</xdr:col>
                    <xdr:colOff>809625</xdr:colOff>
                    <xdr:row>2</xdr:row>
                    <xdr:rowOff>266700</xdr:rowOff>
                  </to>
                </anchor>
              </controlPr>
            </control>
          </mc:Choice>
        </mc:AlternateContent>
        <mc:AlternateContent xmlns:mc="http://schemas.openxmlformats.org/markup-compatibility/2006">
          <mc:Choice Requires="x14">
            <control shapeId="99331" r:id="rId6" name="Check Box 3">
              <controlPr defaultSize="0" autoFill="0" autoLine="0" autoPict="0" altText="Hinweis 3">
                <anchor moveWithCells="1" sizeWithCells="1">
                  <from>
                    <xdr:col>12</xdr:col>
                    <xdr:colOff>19050</xdr:colOff>
                    <xdr:row>3</xdr:row>
                    <xdr:rowOff>9525</xdr:rowOff>
                  </from>
                  <to>
                    <xdr:col>12</xdr:col>
                    <xdr:colOff>809625</xdr:colOff>
                    <xdr:row>4</xdr:row>
                    <xdr:rowOff>57150</xdr:rowOff>
                  </to>
                </anchor>
              </controlPr>
            </control>
          </mc:Choice>
        </mc:AlternateContent>
        <mc:AlternateContent xmlns:mc="http://schemas.openxmlformats.org/markup-compatibility/2006">
          <mc:Choice Requires="x14">
            <control shapeId="99332" r:id="rId7" name="Check Box 4">
              <controlPr defaultSize="0" autoFill="0" autoLine="0" autoPict="0" altText="Hinweis 3">
                <anchor moveWithCells="1" sizeWithCells="1">
                  <from>
                    <xdr:col>12</xdr:col>
                    <xdr:colOff>19050</xdr:colOff>
                    <xdr:row>4</xdr:row>
                    <xdr:rowOff>66675</xdr:rowOff>
                  </from>
                  <to>
                    <xdr:col>12</xdr:col>
                    <xdr:colOff>809625</xdr:colOff>
                    <xdr:row>5</xdr:row>
                    <xdr:rowOff>123825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59221-72BC-4691-B313-E0DBECC9E7F6}">
  <sheetPr codeName="Tabelle41">
    <tabColor indexed="40"/>
  </sheetPr>
  <dimension ref="A1:U57"/>
  <sheetViews>
    <sheetView showGridLines="0" zoomScaleNormal="100" workbookViewId="0">
      <pane ySplit="21" topLeftCell="A22" activePane="bottomLeft" state="frozen"/>
      <selection pane="bottomLeft"/>
    </sheetView>
  </sheetViews>
  <sheetFormatPr baseColWidth="10" defaultColWidth="0" defaultRowHeight="15" customHeight="1" x14ac:dyDescent="0.2"/>
  <cols>
    <col min="1" max="1" width="11.7109375" style="3" customWidth="1"/>
    <col min="2" max="2" width="7.7109375" style="3" customWidth="1"/>
    <col min="3" max="3" width="5.7109375" style="3" customWidth="1"/>
    <col min="4" max="4" width="8.28515625" style="3" customWidth="1"/>
    <col min="5" max="5" width="21.7109375" style="3" customWidth="1"/>
    <col min="6" max="6" width="13.5703125" style="3" bestFit="1" customWidth="1"/>
    <col min="7" max="7" width="10.7109375" style="3" customWidth="1"/>
    <col min="8" max="8" width="9.7109375" style="3" customWidth="1"/>
    <col min="9" max="9" width="11.7109375" style="3" customWidth="1"/>
    <col min="10" max="10" width="10.5703125" style="3" bestFit="1" customWidth="1"/>
    <col min="11" max="11" width="7.85546875" style="3" customWidth="1"/>
    <col min="12" max="12" width="8.7109375" style="3" customWidth="1"/>
    <col min="13" max="13" width="12.140625" style="3" customWidth="1"/>
    <col min="14" max="14" width="9.42578125" style="3" customWidth="1"/>
    <col min="15" max="15" width="8.42578125" style="3" customWidth="1"/>
    <col min="16" max="17" width="11.42578125" style="3" customWidth="1"/>
    <col min="18" max="19" width="11.28515625" style="3" customWidth="1"/>
    <col min="20" max="20" width="22.28515625" style="3" customWidth="1"/>
    <col min="21" max="21" width="0" style="3" hidden="1" customWidth="1"/>
    <col min="22" max="16384" width="11.42578125" style="3" hidden="1"/>
  </cols>
  <sheetData>
    <row r="1" spans="1:21" ht="15" customHeight="1" x14ac:dyDescent="0.2">
      <c r="M1" s="5" t="s">
        <v>100</v>
      </c>
    </row>
    <row r="2" spans="1:21" ht="21" customHeight="1" x14ac:dyDescent="0.2">
      <c r="A2" s="217" t="s">
        <v>177</v>
      </c>
      <c r="B2" s="218"/>
      <c r="C2" s="218"/>
      <c r="D2" s="218" t="b">
        <v>0</v>
      </c>
      <c r="E2" s="219"/>
      <c r="G2" s="220" t="s">
        <v>190</v>
      </c>
      <c r="H2" s="220" t="s">
        <v>182</v>
      </c>
      <c r="I2" s="220" t="s">
        <v>183</v>
      </c>
      <c r="J2" s="220" t="s">
        <v>202</v>
      </c>
      <c r="M2" s="23" t="b">
        <v>0</v>
      </c>
      <c r="N2" s="192" t="str">
        <f>IF(M2=TRUE,"Bitte tragen Sie Ihre Leistungswerte in die gelben Zellen direkt unter der Zelle Leistungswerte (m²/h) ein. Die Leistungswerte werden automatisch in die untere Kalkulation übernommen. Die linke Tabelle ist lediglich eine Ausfüllhilfe.",IF(M3=TRUE,"Wenn eine Jahresreinigungsfläche für eine Reinigungsgruppe mit 0 angegeben ist, brauchen Sie den Leistungswert nicht auszufüllen. Es schadet aber nichts, wenn Sie es trotzdem tun.",IF(M4=TRUE,"Sie können in der Kalkulationstabelle (unten) in jedem einzelnen Raum die Leistungswerte (gelbe Zellen) beliebig oft individuell anpassen. Mit dem individuellen Überschreiben wird die Verknüpfung zu den Leistungswerten in der obigen Tabelle aufgehoben.",IF( M5=TRUE,"Die rot markierten Informationen sind auch lediglich eine Unterstützung. Sie erscheinen, wenn gelbe Zellen in dieser Tabelle oder in den Stundenverrechnungssätzen (SVS) nicht ausgefüllt sind. Wenn keine rote Schrift mehr da ist, ist alles vollständig.",""))))</f>
        <v/>
      </c>
      <c r="O2" s="192"/>
      <c r="P2" s="192"/>
      <c r="Q2" s="192"/>
    </row>
    <row r="3" spans="1:21" ht="21" customHeight="1" x14ac:dyDescent="0.2">
      <c r="A3" s="154" t="s">
        <v>178</v>
      </c>
      <c r="B3" s="155"/>
      <c r="C3" s="155"/>
      <c r="D3" s="155"/>
      <c r="E3" s="156"/>
      <c r="G3" s="221"/>
      <c r="H3" s="221" t="b">
        <v>0</v>
      </c>
      <c r="I3" s="221"/>
      <c r="J3" s="221"/>
      <c r="M3" s="23" t="b">
        <v>0</v>
      </c>
      <c r="N3" s="192"/>
      <c r="O3" s="192"/>
      <c r="P3" s="192"/>
      <c r="Q3" s="192"/>
    </row>
    <row r="4" spans="1:21" ht="15" customHeight="1" x14ac:dyDescent="0.2">
      <c r="A4" s="215" t="s">
        <v>91</v>
      </c>
      <c r="B4" s="225" t="str">
        <f>IF(Inhaltsverzeichnis!C3="","",Inhaltsverzeichnis!C3)</f>
        <v/>
      </c>
      <c r="C4" s="226"/>
      <c r="D4" s="226"/>
      <c r="E4" s="227"/>
      <c r="G4" s="153" t="s">
        <v>402</v>
      </c>
      <c r="H4" s="157"/>
      <c r="I4" s="158">
        <f ca="1">SUMIF('Kal Unter Verwaltung II'!J22:M57,$G$4,'Kal Unter Verwaltung II'!M22:M57)</f>
        <v>31655.89</v>
      </c>
      <c r="J4" s="118">
        <f>COUNTIFS('Kal Unter Verwaltung II'!J22:M57,$G$4)</f>
        <v>11</v>
      </c>
      <c r="M4" s="23" t="b">
        <v>0</v>
      </c>
      <c r="N4" s="192"/>
      <c r="O4" s="192"/>
      <c r="P4" s="192"/>
      <c r="Q4" s="192"/>
      <c r="U4" s="153" t="s">
        <v>402</v>
      </c>
    </row>
    <row r="5" spans="1:21" ht="15" customHeight="1" x14ac:dyDescent="0.2">
      <c r="A5" s="216"/>
      <c r="B5" s="228"/>
      <c r="C5" s="229"/>
      <c r="D5" s="229"/>
      <c r="E5" s="230"/>
      <c r="G5" s="153" t="s">
        <v>315</v>
      </c>
      <c r="H5" s="157"/>
      <c r="I5" s="158">
        <f ca="1">SUMIF('Kal Unter Verwaltung II'!J22:M57,$G$5,'Kal Unter Verwaltung II'!M22:M57)</f>
        <v>275.73</v>
      </c>
      <c r="J5" s="118">
        <f>COUNTIFS('Kal Unter Verwaltung II'!J22:M57,$G$5)</f>
        <v>1</v>
      </c>
      <c r="M5" s="23" t="b">
        <v>0</v>
      </c>
      <c r="N5" s="192"/>
      <c r="O5" s="192"/>
      <c r="P5" s="192"/>
      <c r="Q5" s="192"/>
      <c r="U5" s="153" t="s">
        <v>315</v>
      </c>
    </row>
    <row r="6" spans="1:21" ht="15" customHeight="1" x14ac:dyDescent="0.2">
      <c r="A6" s="159" t="s">
        <v>200</v>
      </c>
      <c r="B6" s="231" t="s">
        <v>245</v>
      </c>
      <c r="C6" s="232"/>
      <c r="D6" s="232"/>
      <c r="E6" s="233"/>
      <c r="G6" s="153" t="s">
        <v>314</v>
      </c>
      <c r="H6" s="157"/>
      <c r="I6" s="158">
        <f ca="1">SUMIF('Kal Unter Verwaltung II'!J22:M57,$G$6,'Kal Unter Verwaltung II'!M22:M57)</f>
        <v>6236.9900000000007</v>
      </c>
      <c r="J6" s="118">
        <f>COUNTIFS('Kal Unter Verwaltung II'!J22:M57,$G$6)</f>
        <v>5</v>
      </c>
      <c r="U6" s="153" t="s">
        <v>314</v>
      </c>
    </row>
    <row r="7" spans="1:21" ht="15" customHeight="1" x14ac:dyDescent="0.2">
      <c r="A7" s="160" t="s">
        <v>198</v>
      </c>
      <c r="B7" s="234" t="s">
        <v>272</v>
      </c>
      <c r="C7" s="232"/>
      <c r="D7" s="232"/>
      <c r="E7" s="233"/>
      <c r="G7" s="153" t="s">
        <v>312</v>
      </c>
      <c r="H7" s="157"/>
      <c r="I7" s="158">
        <f ca="1">SUMIF('Kal Unter Verwaltung II'!J22:M57,$G$7,'Kal Unter Verwaltung II'!M22:M57)</f>
        <v>415.12</v>
      </c>
      <c r="J7" s="118">
        <f>COUNTIFS('Kal Unter Verwaltung II'!J22:M57,$G$7)</f>
        <v>5</v>
      </c>
      <c r="U7" s="153" t="s">
        <v>312</v>
      </c>
    </row>
    <row r="8" spans="1:21" ht="15" customHeight="1" x14ac:dyDescent="0.2">
      <c r="A8" s="160" t="s">
        <v>199</v>
      </c>
      <c r="B8" s="231"/>
      <c r="C8" s="232"/>
      <c r="D8" s="232"/>
      <c r="E8" s="233"/>
      <c r="G8" s="153" t="s">
        <v>310</v>
      </c>
      <c r="H8" s="157"/>
      <c r="I8" s="158">
        <f ca="1">SUMIF('Kal Unter Verwaltung II'!J22:M57,$G$8,'Kal Unter Verwaltung II'!M22:M57)</f>
        <v>16625.7</v>
      </c>
      <c r="J8" s="118">
        <f>COUNTIFS('Kal Unter Verwaltung II'!J22:M57,$G$8)</f>
        <v>8</v>
      </c>
      <c r="U8" s="153" t="s">
        <v>310</v>
      </c>
    </row>
    <row r="9" spans="1:21" ht="15" customHeight="1" x14ac:dyDescent="0.2">
      <c r="A9" s="159" t="s">
        <v>197</v>
      </c>
      <c r="B9" s="235" t="s">
        <v>272</v>
      </c>
      <c r="C9" s="232"/>
      <c r="D9" s="232"/>
      <c r="E9" s="233"/>
      <c r="G9" s="153" t="s">
        <v>313</v>
      </c>
      <c r="H9" s="157"/>
      <c r="I9" s="158">
        <f ca="1">SUMIF('Kal Unter Verwaltung II'!J22:M57,$G$9,'Kal Unter Verwaltung II'!M22:M57)</f>
        <v>20203.07</v>
      </c>
      <c r="J9" s="118">
        <f>COUNTIFS('Kal Unter Verwaltung II'!J22:M57,$G$9)</f>
        <v>5</v>
      </c>
      <c r="U9" s="153" t="s">
        <v>313</v>
      </c>
    </row>
    <row r="10" spans="1:21" ht="15" customHeight="1" x14ac:dyDescent="0.2">
      <c r="A10" s="160" t="s">
        <v>179</v>
      </c>
      <c r="B10" s="231" t="s">
        <v>273</v>
      </c>
      <c r="C10" s="232"/>
      <c r="D10" s="232"/>
      <c r="E10" s="233"/>
      <c r="G10" s="153" t="s">
        <v>404</v>
      </c>
      <c r="H10" s="157"/>
      <c r="I10" s="158">
        <f ca="1">SUMIF('Kal Unter Verwaltung II'!J22:M57,$G$10,'Kal Unter Verwaltung II'!M22:M57)</f>
        <v>1185.58</v>
      </c>
      <c r="J10" s="118">
        <f>COUNTIFS('Kal Unter Verwaltung II'!J22:M57,$G$10)</f>
        <v>1</v>
      </c>
      <c r="U10" s="153" t="s">
        <v>404</v>
      </c>
    </row>
    <row r="11" spans="1:21" ht="15" customHeight="1" x14ac:dyDescent="0.2">
      <c r="A11" s="160" t="s">
        <v>180</v>
      </c>
      <c r="B11" s="236" t="s">
        <v>248</v>
      </c>
      <c r="C11" s="232"/>
      <c r="D11" s="232"/>
      <c r="E11" s="233"/>
    </row>
    <row r="12" spans="1:21" ht="15" customHeight="1" x14ac:dyDescent="0.2">
      <c r="A12" s="160" t="s">
        <v>181</v>
      </c>
      <c r="B12" s="231" t="s">
        <v>249</v>
      </c>
      <c r="C12" s="232"/>
      <c r="D12" s="232"/>
      <c r="E12" s="233"/>
    </row>
    <row r="13" spans="1:21" ht="15" customHeight="1" x14ac:dyDescent="0.2">
      <c r="A13" s="160" t="s">
        <v>184</v>
      </c>
      <c r="B13" s="222" t="str">
        <f>HYPERLINK("http://maps.google.de/maps?hl=de&amp;bav=on.2,or.r_qf.&amp;bvm=bv.44770516,d.Yms&amp;biw=1395&amp;bih=916&amp;um=1&amp;ie=UTF-8&amp;q="&amp;B7&amp;"+"&amp;B8&amp;"+"&amp;B10&amp;"+"&amp;B11&amp;"+"&amp;B12&amp;"","In Google-Maps anzeigen (wenn Internet verfügbar)")</f>
        <v>In Google-Maps anzeigen (wenn Internet verfügbar)</v>
      </c>
      <c r="C13" s="223"/>
      <c r="D13" s="223"/>
      <c r="E13" s="224"/>
    </row>
    <row r="14" spans="1:21" ht="15" customHeight="1" x14ac:dyDescent="0.2">
      <c r="T14" s="161">
        <f>IF(COUNTA($T$22:$T$57)-COUNTBLANK($T$22:$T$57)=0,"",COUNTA($T$22:$T$57)-COUNTBLANK($T$22:$T$57))</f>
        <v>36</v>
      </c>
    </row>
    <row r="15" spans="1:21" ht="15" hidden="1" customHeight="1" x14ac:dyDescent="0.2"/>
    <row r="16" spans="1:21" ht="15" hidden="1" customHeight="1" x14ac:dyDescent="0.2"/>
    <row r="17" spans="1:21" ht="15" hidden="1" customHeight="1" x14ac:dyDescent="0.2"/>
    <row r="18" spans="1:21" ht="15" hidden="1" customHeight="1" x14ac:dyDescent="0.2"/>
    <row r="19" spans="1:21" ht="15" hidden="1" customHeight="1" x14ac:dyDescent="0.2"/>
    <row r="20" spans="1:21" ht="45" customHeight="1" x14ac:dyDescent="0.2">
      <c r="A20" s="1" t="s">
        <v>92</v>
      </c>
      <c r="B20" s="1" t="s">
        <v>97</v>
      </c>
      <c r="C20" s="1" t="s">
        <v>93</v>
      </c>
      <c r="D20" s="1" t="s">
        <v>94</v>
      </c>
      <c r="E20" s="1" t="s">
        <v>98</v>
      </c>
      <c r="F20" s="1" t="s">
        <v>95</v>
      </c>
      <c r="G20" s="1" t="s">
        <v>121</v>
      </c>
      <c r="H20" s="1" t="s">
        <v>108</v>
      </c>
      <c r="I20" s="1" t="s">
        <v>109</v>
      </c>
      <c r="J20" s="1" t="s">
        <v>99</v>
      </c>
      <c r="K20" s="1" t="s">
        <v>106</v>
      </c>
      <c r="L20" s="1" t="s">
        <v>141</v>
      </c>
      <c r="M20" s="1" t="s">
        <v>111</v>
      </c>
      <c r="N20" s="1" t="s">
        <v>107</v>
      </c>
      <c r="O20" s="1" t="s">
        <v>112</v>
      </c>
      <c r="P20" s="1" t="s">
        <v>113</v>
      </c>
      <c r="Q20" s="1" t="s">
        <v>114</v>
      </c>
      <c r="R20" s="1" t="s">
        <v>201</v>
      </c>
      <c r="S20" s="1" t="s">
        <v>140</v>
      </c>
    </row>
    <row r="21" spans="1:21" ht="29.1" customHeight="1" x14ac:dyDescent="0.2">
      <c r="A21" s="162" t="s">
        <v>125</v>
      </c>
      <c r="B21" s="14"/>
      <c r="C21" s="14"/>
      <c r="D21" s="14"/>
      <c r="E21" s="14"/>
      <c r="F21" s="14"/>
      <c r="G21" s="163">
        <f>SUM($G$22:$G$57)</f>
        <v>526.12</v>
      </c>
      <c r="H21" s="163">
        <f>SUM($H$22:$H$57)</f>
        <v>0</v>
      </c>
      <c r="I21" s="163">
        <f>SUM($I$22:$I$57)</f>
        <v>12</v>
      </c>
      <c r="J21" s="95"/>
      <c r="K21" s="95"/>
      <c r="L21" s="164">
        <f>MAX(L22:L57)</f>
        <v>253.33</v>
      </c>
      <c r="M21" s="163">
        <f>SUM($M$22:$M$57)</f>
        <v>76598.080000000002</v>
      </c>
      <c r="N21" s="95"/>
      <c r="O21" s="95"/>
      <c r="P21" s="163">
        <f>SUM($P$22:$P$57)</f>
        <v>0</v>
      </c>
      <c r="Q21" s="163">
        <f ca="1">SUM($Q$22:$Q$57)</f>
        <v>0</v>
      </c>
      <c r="R21" s="163">
        <f>ROUND(IF(L21=0,0,P21/L21),2)</f>
        <v>0</v>
      </c>
      <c r="S21" s="163">
        <f ca="1">ROUND(IF(L21=0,0,Q21/L21),2)</f>
        <v>0</v>
      </c>
    </row>
    <row r="22" spans="1:21" ht="15" customHeight="1" x14ac:dyDescent="0.2">
      <c r="A22" s="153">
        <v>1</v>
      </c>
      <c r="B22" s="165"/>
      <c r="C22" s="166" t="s">
        <v>306</v>
      </c>
      <c r="D22" s="166">
        <v>6</v>
      </c>
      <c r="E22" s="166" t="s">
        <v>561</v>
      </c>
      <c r="F22" s="166" t="s">
        <v>287</v>
      </c>
      <c r="G22" s="167">
        <v>3.03</v>
      </c>
      <c r="H22" s="167"/>
      <c r="I22" s="167"/>
      <c r="J22" s="153" t="s">
        <v>312</v>
      </c>
      <c r="K22" s="153" t="s">
        <v>162</v>
      </c>
      <c r="L22" s="95">
        <f>VLOOKUP(K22,Reinigungstage!A10:M31,13,FALSE)</f>
        <v>12</v>
      </c>
      <c r="M22" s="95">
        <f t="shared" ref="M22:M57" si="0">ROUND(IF(L22=0,0,L22*G22),2)</f>
        <v>36.36</v>
      </c>
      <c r="N22" s="168">
        <f t="shared" ref="N22:N57" si="1">VLOOKUP(J22,$G$4:$H$10,2,FALSE)</f>
        <v>0</v>
      </c>
      <c r="O22" s="95">
        <f ca="1">IF('SVS UnterhaltsRG'!H61="",0,'SVS UnterhaltsRG'!H61)</f>
        <v>0</v>
      </c>
      <c r="P22" s="95">
        <f t="shared" ref="P22:P57" si="2">ROUND(IF(N22=0,0,M22/N22),2)</f>
        <v>0</v>
      </c>
      <c r="Q22" s="95">
        <f t="shared" ref="Q22:Q57" ca="1" si="3">IF(M22=0,0,IF(O22="",0,ROUND(P22*O22,2)))</f>
        <v>0</v>
      </c>
      <c r="R22" s="95">
        <f t="shared" ref="R22:R57" si="4">ROUND(IF(P22=0,0,P22/L22),2)</f>
        <v>0</v>
      </c>
      <c r="S22" s="95">
        <f t="shared" ref="S22:S57" ca="1" si="5">ROUND(IF(Q22=0,0,Q22/L22),2)</f>
        <v>0</v>
      </c>
      <c r="T22" s="3" t="str">
        <f t="shared" ref="T22:T57" si="6">IF(M22=0,"",IF(N22=0,"Leistungswert eintragen",IF(O22=0,"SVS prüfen","")))</f>
        <v>Leistungswert eintragen</v>
      </c>
      <c r="U22" s="3">
        <f t="shared" ref="U22:U57" si="7">VLOOKUP(J22,$U$4:$V$10,2,FALSE)</f>
        <v>0</v>
      </c>
    </row>
    <row r="23" spans="1:21" ht="15" customHeight="1" x14ac:dyDescent="0.2">
      <c r="A23" s="153">
        <v>2</v>
      </c>
      <c r="B23" s="165" t="s">
        <v>562</v>
      </c>
      <c r="C23" s="166" t="s">
        <v>306</v>
      </c>
      <c r="D23" s="166"/>
      <c r="E23" s="166" t="s">
        <v>402</v>
      </c>
      <c r="F23" s="166" t="s">
        <v>287</v>
      </c>
      <c r="G23" s="167">
        <v>24.66</v>
      </c>
      <c r="H23" s="167"/>
      <c r="I23" s="167"/>
      <c r="J23" s="153" t="s">
        <v>402</v>
      </c>
      <c r="K23" s="167">
        <v>2</v>
      </c>
      <c r="L23" s="95">
        <f>VLOOKUP(K23,Reinigungstage!A10:M31,13,FALSE)</f>
        <v>105.26</v>
      </c>
      <c r="M23" s="95">
        <f t="shared" si="0"/>
        <v>2595.71</v>
      </c>
      <c r="N23" s="168">
        <f t="shared" si="1"/>
        <v>0</v>
      </c>
      <c r="O23" s="95">
        <f ca="1">IF('SVS UnterhaltsRG'!H61="",0,'SVS UnterhaltsRG'!H61)</f>
        <v>0</v>
      </c>
      <c r="P23" s="95">
        <f t="shared" si="2"/>
        <v>0</v>
      </c>
      <c r="Q23" s="95">
        <f t="shared" ca="1" si="3"/>
        <v>0</v>
      </c>
      <c r="R23" s="95">
        <f t="shared" si="4"/>
        <v>0</v>
      </c>
      <c r="S23" s="95">
        <f t="shared" ca="1" si="5"/>
        <v>0</v>
      </c>
      <c r="T23" s="3" t="str">
        <f t="shared" si="6"/>
        <v>Leistungswert eintragen</v>
      </c>
      <c r="U23" s="3">
        <f t="shared" si="7"/>
        <v>0</v>
      </c>
    </row>
    <row r="24" spans="1:21" ht="15" customHeight="1" x14ac:dyDescent="0.2">
      <c r="A24" s="153">
        <v>3</v>
      </c>
      <c r="B24" s="165"/>
      <c r="C24" s="166" t="s">
        <v>306</v>
      </c>
      <c r="D24" s="166">
        <v>6</v>
      </c>
      <c r="E24" s="166" t="s">
        <v>561</v>
      </c>
      <c r="F24" s="166" t="s">
        <v>480</v>
      </c>
      <c r="G24" s="167">
        <v>9.49</v>
      </c>
      <c r="H24" s="167"/>
      <c r="I24" s="167"/>
      <c r="J24" s="153" t="s">
        <v>312</v>
      </c>
      <c r="K24" s="153" t="s">
        <v>162</v>
      </c>
      <c r="L24" s="95">
        <f>VLOOKUP(K24,Reinigungstage!A10:M31,13,FALSE)</f>
        <v>12</v>
      </c>
      <c r="M24" s="95">
        <f t="shared" si="0"/>
        <v>113.88</v>
      </c>
      <c r="N24" s="168">
        <f t="shared" si="1"/>
        <v>0</v>
      </c>
      <c r="O24" s="95">
        <f ca="1">IF('SVS UnterhaltsRG'!H61="",0,'SVS UnterhaltsRG'!H61)</f>
        <v>0</v>
      </c>
      <c r="P24" s="95">
        <f t="shared" si="2"/>
        <v>0</v>
      </c>
      <c r="Q24" s="95">
        <f t="shared" ca="1" si="3"/>
        <v>0</v>
      </c>
      <c r="R24" s="95">
        <f t="shared" si="4"/>
        <v>0</v>
      </c>
      <c r="S24" s="95">
        <f t="shared" ca="1" si="5"/>
        <v>0</v>
      </c>
      <c r="T24" s="3" t="str">
        <f t="shared" si="6"/>
        <v>Leistungswert eintragen</v>
      </c>
      <c r="U24" s="3">
        <f t="shared" si="7"/>
        <v>0</v>
      </c>
    </row>
    <row r="25" spans="1:21" ht="15" customHeight="1" x14ac:dyDescent="0.2">
      <c r="A25" s="153">
        <v>4</v>
      </c>
      <c r="B25" s="165" t="s">
        <v>563</v>
      </c>
      <c r="C25" s="166" t="s">
        <v>306</v>
      </c>
      <c r="D25" s="166"/>
      <c r="E25" s="166" t="s">
        <v>402</v>
      </c>
      <c r="F25" s="166" t="s">
        <v>287</v>
      </c>
      <c r="G25" s="167">
        <v>28.8</v>
      </c>
      <c r="H25" s="167"/>
      <c r="I25" s="167"/>
      <c r="J25" s="153" t="s">
        <v>402</v>
      </c>
      <c r="K25" s="167">
        <v>2</v>
      </c>
      <c r="L25" s="95">
        <f>VLOOKUP(K25,Reinigungstage!A10:M31,13,FALSE)</f>
        <v>105.26</v>
      </c>
      <c r="M25" s="95">
        <f t="shared" si="0"/>
        <v>3031.49</v>
      </c>
      <c r="N25" s="168">
        <f t="shared" si="1"/>
        <v>0</v>
      </c>
      <c r="O25" s="95">
        <f ca="1">IF('SVS UnterhaltsRG'!H61="",0,'SVS UnterhaltsRG'!H61)</f>
        <v>0</v>
      </c>
      <c r="P25" s="95">
        <f t="shared" si="2"/>
        <v>0</v>
      </c>
      <c r="Q25" s="95">
        <f t="shared" ca="1" si="3"/>
        <v>0</v>
      </c>
      <c r="R25" s="95">
        <f t="shared" si="4"/>
        <v>0</v>
      </c>
      <c r="S25" s="95">
        <f t="shared" ca="1" si="5"/>
        <v>0</v>
      </c>
      <c r="T25" s="3" t="str">
        <f t="shared" si="6"/>
        <v>Leistungswert eintragen</v>
      </c>
      <c r="U25" s="3">
        <f t="shared" si="7"/>
        <v>0</v>
      </c>
    </row>
    <row r="26" spans="1:21" ht="15" customHeight="1" x14ac:dyDescent="0.2">
      <c r="A26" s="153">
        <v>5</v>
      </c>
      <c r="B26" s="165" t="s">
        <v>564</v>
      </c>
      <c r="C26" s="166" t="s">
        <v>306</v>
      </c>
      <c r="D26" s="166"/>
      <c r="E26" s="166" t="s">
        <v>402</v>
      </c>
      <c r="F26" s="166" t="s">
        <v>480</v>
      </c>
      <c r="G26" s="167">
        <v>43.98</v>
      </c>
      <c r="H26" s="167"/>
      <c r="I26" s="167"/>
      <c r="J26" s="153" t="s">
        <v>402</v>
      </c>
      <c r="K26" s="167">
        <v>2</v>
      </c>
      <c r="L26" s="95">
        <f>VLOOKUP(K26,Reinigungstage!A10:M31,13,FALSE)</f>
        <v>105.26</v>
      </c>
      <c r="M26" s="95">
        <f t="shared" si="0"/>
        <v>4629.33</v>
      </c>
      <c r="N26" s="168">
        <f t="shared" si="1"/>
        <v>0</v>
      </c>
      <c r="O26" s="95">
        <f ca="1">IF('SVS UnterhaltsRG'!H61="",0,'SVS UnterhaltsRG'!H61)</f>
        <v>0</v>
      </c>
      <c r="P26" s="95">
        <f t="shared" si="2"/>
        <v>0</v>
      </c>
      <c r="Q26" s="95">
        <f t="shared" ca="1" si="3"/>
        <v>0</v>
      </c>
      <c r="R26" s="95">
        <f t="shared" si="4"/>
        <v>0</v>
      </c>
      <c r="S26" s="95">
        <f t="shared" ca="1" si="5"/>
        <v>0</v>
      </c>
      <c r="T26" s="3" t="str">
        <f t="shared" si="6"/>
        <v>Leistungswert eintragen</v>
      </c>
      <c r="U26" s="3">
        <f t="shared" si="7"/>
        <v>0</v>
      </c>
    </row>
    <row r="27" spans="1:21" ht="15" customHeight="1" x14ac:dyDescent="0.2">
      <c r="A27" s="153">
        <v>6</v>
      </c>
      <c r="B27" s="165"/>
      <c r="C27" s="166" t="s">
        <v>306</v>
      </c>
      <c r="D27" s="166"/>
      <c r="E27" s="166" t="s">
        <v>477</v>
      </c>
      <c r="F27" s="166" t="s">
        <v>287</v>
      </c>
      <c r="G27" s="167">
        <v>4.68</v>
      </c>
      <c r="H27" s="167"/>
      <c r="I27" s="167"/>
      <c r="J27" s="153" t="s">
        <v>404</v>
      </c>
      <c r="K27" s="167">
        <v>5</v>
      </c>
      <c r="L27" s="95">
        <f>VLOOKUP(K27,Reinigungstage!A10:M31,13,FALSE)</f>
        <v>253.33</v>
      </c>
      <c r="M27" s="95">
        <f t="shared" si="0"/>
        <v>1185.58</v>
      </c>
      <c r="N27" s="168">
        <f t="shared" si="1"/>
        <v>0</v>
      </c>
      <c r="O27" s="95">
        <f ca="1">IF('SVS UnterhaltsRG'!H61="",0,'SVS UnterhaltsRG'!H61)</f>
        <v>0</v>
      </c>
      <c r="P27" s="95">
        <f t="shared" si="2"/>
        <v>0</v>
      </c>
      <c r="Q27" s="95">
        <f t="shared" ca="1" si="3"/>
        <v>0</v>
      </c>
      <c r="R27" s="95">
        <f t="shared" si="4"/>
        <v>0</v>
      </c>
      <c r="S27" s="95">
        <f t="shared" ca="1" si="5"/>
        <v>0</v>
      </c>
      <c r="T27" s="3" t="str">
        <f t="shared" si="6"/>
        <v>Leistungswert eintragen</v>
      </c>
      <c r="U27" s="3">
        <f t="shared" si="7"/>
        <v>0</v>
      </c>
    </row>
    <row r="28" spans="1:21" ht="15" customHeight="1" x14ac:dyDescent="0.2">
      <c r="A28" s="153">
        <v>7</v>
      </c>
      <c r="B28" s="165"/>
      <c r="C28" s="166" t="s">
        <v>306</v>
      </c>
      <c r="D28" s="166"/>
      <c r="E28" s="166" t="s">
        <v>496</v>
      </c>
      <c r="F28" s="166" t="s">
        <v>287</v>
      </c>
      <c r="G28" s="167">
        <v>5.24</v>
      </c>
      <c r="H28" s="167"/>
      <c r="I28" s="167"/>
      <c r="J28" s="153" t="s">
        <v>315</v>
      </c>
      <c r="K28" s="167">
        <v>1</v>
      </c>
      <c r="L28" s="95">
        <f>VLOOKUP(K28,Reinigungstage!A10:M31,13,FALSE)</f>
        <v>52.62</v>
      </c>
      <c r="M28" s="95">
        <f t="shared" si="0"/>
        <v>275.73</v>
      </c>
      <c r="N28" s="168">
        <f t="shared" si="1"/>
        <v>0</v>
      </c>
      <c r="O28" s="95">
        <f ca="1">IF('SVS UnterhaltsRG'!H61="",0,'SVS UnterhaltsRG'!H61)</f>
        <v>0</v>
      </c>
      <c r="P28" s="95">
        <f t="shared" si="2"/>
        <v>0</v>
      </c>
      <c r="Q28" s="95">
        <f t="shared" ca="1" si="3"/>
        <v>0</v>
      </c>
      <c r="R28" s="95">
        <f t="shared" si="4"/>
        <v>0</v>
      </c>
      <c r="S28" s="95">
        <f t="shared" ca="1" si="5"/>
        <v>0</v>
      </c>
      <c r="T28" s="3" t="str">
        <f t="shared" si="6"/>
        <v>Leistungswert eintragen</v>
      </c>
      <c r="U28" s="3">
        <f t="shared" si="7"/>
        <v>0</v>
      </c>
    </row>
    <row r="29" spans="1:21" ht="15" customHeight="1" x14ac:dyDescent="0.2">
      <c r="A29" s="153">
        <v>8</v>
      </c>
      <c r="B29" s="165" t="s">
        <v>565</v>
      </c>
      <c r="C29" s="166" t="s">
        <v>306</v>
      </c>
      <c r="D29" s="166"/>
      <c r="E29" s="166" t="s">
        <v>402</v>
      </c>
      <c r="F29" s="166" t="s">
        <v>287</v>
      </c>
      <c r="G29" s="167">
        <v>26.6</v>
      </c>
      <c r="H29" s="167"/>
      <c r="I29" s="167"/>
      <c r="J29" s="153" t="s">
        <v>402</v>
      </c>
      <c r="K29" s="167">
        <v>2</v>
      </c>
      <c r="L29" s="95">
        <f>VLOOKUP(K29,Reinigungstage!A10:M31,13,FALSE)</f>
        <v>105.26</v>
      </c>
      <c r="M29" s="95">
        <f t="shared" si="0"/>
        <v>2799.92</v>
      </c>
      <c r="N29" s="168">
        <f t="shared" si="1"/>
        <v>0</v>
      </c>
      <c r="O29" s="95">
        <f ca="1">IF('SVS UnterhaltsRG'!H61="",0,'SVS UnterhaltsRG'!H61)</f>
        <v>0</v>
      </c>
      <c r="P29" s="95">
        <f t="shared" si="2"/>
        <v>0</v>
      </c>
      <c r="Q29" s="95">
        <f t="shared" ca="1" si="3"/>
        <v>0</v>
      </c>
      <c r="R29" s="95">
        <f t="shared" si="4"/>
        <v>0</v>
      </c>
      <c r="S29" s="95">
        <f t="shared" ca="1" si="5"/>
        <v>0</v>
      </c>
      <c r="T29" s="3" t="str">
        <f t="shared" si="6"/>
        <v>Leistungswert eintragen</v>
      </c>
      <c r="U29" s="3">
        <f t="shared" si="7"/>
        <v>0</v>
      </c>
    </row>
    <row r="30" spans="1:21" ht="15" customHeight="1" x14ac:dyDescent="0.2">
      <c r="A30" s="153">
        <v>9</v>
      </c>
      <c r="B30" s="165" t="s">
        <v>566</v>
      </c>
      <c r="C30" s="166" t="s">
        <v>306</v>
      </c>
      <c r="D30" s="166"/>
      <c r="E30" s="166" t="s">
        <v>402</v>
      </c>
      <c r="F30" s="166" t="s">
        <v>287</v>
      </c>
      <c r="G30" s="167">
        <v>22.45</v>
      </c>
      <c r="H30" s="167"/>
      <c r="I30" s="167"/>
      <c r="J30" s="153" t="s">
        <v>402</v>
      </c>
      <c r="K30" s="167">
        <v>2</v>
      </c>
      <c r="L30" s="95">
        <f>VLOOKUP(K30,Reinigungstage!A10:M31,13,FALSE)</f>
        <v>105.26</v>
      </c>
      <c r="M30" s="95">
        <f t="shared" si="0"/>
        <v>2363.09</v>
      </c>
      <c r="N30" s="168">
        <f t="shared" si="1"/>
        <v>0</v>
      </c>
      <c r="O30" s="95">
        <f ca="1">IF('SVS UnterhaltsRG'!H61="",0,'SVS UnterhaltsRG'!H61)</f>
        <v>0</v>
      </c>
      <c r="P30" s="95">
        <f t="shared" si="2"/>
        <v>0</v>
      </c>
      <c r="Q30" s="95">
        <f t="shared" ca="1" si="3"/>
        <v>0</v>
      </c>
      <c r="R30" s="95">
        <f t="shared" si="4"/>
        <v>0</v>
      </c>
      <c r="S30" s="95">
        <f t="shared" ca="1" si="5"/>
        <v>0</v>
      </c>
      <c r="T30" s="3" t="str">
        <f t="shared" si="6"/>
        <v>Leistungswert eintragen</v>
      </c>
      <c r="U30" s="3">
        <f t="shared" si="7"/>
        <v>0</v>
      </c>
    </row>
    <row r="31" spans="1:21" ht="15" customHeight="1" x14ac:dyDescent="0.2">
      <c r="A31" s="153">
        <v>10</v>
      </c>
      <c r="B31" s="165"/>
      <c r="C31" s="166" t="s">
        <v>306</v>
      </c>
      <c r="D31" s="166">
        <v>9</v>
      </c>
      <c r="E31" s="166" t="s">
        <v>288</v>
      </c>
      <c r="F31" s="166" t="s">
        <v>287</v>
      </c>
      <c r="G31" s="167">
        <v>13.32</v>
      </c>
      <c r="H31" s="167"/>
      <c r="I31" s="167"/>
      <c r="J31" s="153" t="s">
        <v>313</v>
      </c>
      <c r="K31" s="167">
        <v>5</v>
      </c>
      <c r="L31" s="95">
        <f>VLOOKUP(K31,Reinigungstage!A10:M31,13,FALSE)</f>
        <v>253.33</v>
      </c>
      <c r="M31" s="95">
        <f t="shared" si="0"/>
        <v>3374.36</v>
      </c>
      <c r="N31" s="168">
        <f t="shared" si="1"/>
        <v>0</v>
      </c>
      <c r="O31" s="95">
        <f ca="1">IF('SVS UnterhaltsRG'!H61="",0,'SVS UnterhaltsRG'!H61)</f>
        <v>0</v>
      </c>
      <c r="P31" s="95">
        <f t="shared" si="2"/>
        <v>0</v>
      </c>
      <c r="Q31" s="95">
        <f t="shared" ca="1" si="3"/>
        <v>0</v>
      </c>
      <c r="R31" s="95">
        <f t="shared" si="4"/>
        <v>0</v>
      </c>
      <c r="S31" s="95">
        <f t="shared" ca="1" si="5"/>
        <v>0</v>
      </c>
      <c r="T31" s="3" t="str">
        <f t="shared" si="6"/>
        <v>Leistungswert eintragen</v>
      </c>
      <c r="U31" s="3">
        <f t="shared" si="7"/>
        <v>0</v>
      </c>
    </row>
    <row r="32" spans="1:21" ht="15" customHeight="1" x14ac:dyDescent="0.2">
      <c r="A32" s="153">
        <v>11</v>
      </c>
      <c r="B32" s="165" t="s">
        <v>567</v>
      </c>
      <c r="C32" s="166" t="s">
        <v>306</v>
      </c>
      <c r="D32" s="166"/>
      <c r="E32" s="166" t="s">
        <v>402</v>
      </c>
      <c r="F32" s="166" t="s">
        <v>287</v>
      </c>
      <c r="G32" s="167">
        <v>16.11</v>
      </c>
      <c r="H32" s="167"/>
      <c r="I32" s="167"/>
      <c r="J32" s="153" t="s">
        <v>402</v>
      </c>
      <c r="K32" s="167">
        <v>2</v>
      </c>
      <c r="L32" s="95">
        <f>VLOOKUP(K32,Reinigungstage!A10:M31,13,FALSE)</f>
        <v>105.26</v>
      </c>
      <c r="M32" s="95">
        <f t="shared" si="0"/>
        <v>1695.74</v>
      </c>
      <c r="N32" s="168">
        <f t="shared" si="1"/>
        <v>0</v>
      </c>
      <c r="O32" s="95">
        <f ca="1">IF('SVS UnterhaltsRG'!H61="",0,'SVS UnterhaltsRG'!H61)</f>
        <v>0</v>
      </c>
      <c r="P32" s="95">
        <f t="shared" si="2"/>
        <v>0</v>
      </c>
      <c r="Q32" s="95">
        <f t="shared" ca="1" si="3"/>
        <v>0</v>
      </c>
      <c r="R32" s="95">
        <f t="shared" si="4"/>
        <v>0</v>
      </c>
      <c r="S32" s="95">
        <f t="shared" ca="1" si="5"/>
        <v>0</v>
      </c>
      <c r="T32" s="3" t="str">
        <f t="shared" si="6"/>
        <v>Leistungswert eintragen</v>
      </c>
      <c r="U32" s="3">
        <f t="shared" si="7"/>
        <v>0</v>
      </c>
    </row>
    <row r="33" spans="1:21" ht="15" customHeight="1" x14ac:dyDescent="0.2">
      <c r="A33" s="153">
        <v>12</v>
      </c>
      <c r="B33" s="165" t="s">
        <v>568</v>
      </c>
      <c r="C33" s="166" t="s">
        <v>306</v>
      </c>
      <c r="D33" s="166"/>
      <c r="E33" s="166" t="s">
        <v>402</v>
      </c>
      <c r="F33" s="166" t="s">
        <v>287</v>
      </c>
      <c r="G33" s="167">
        <v>12.06</v>
      </c>
      <c r="H33" s="167"/>
      <c r="I33" s="167"/>
      <c r="J33" s="153" t="s">
        <v>402</v>
      </c>
      <c r="K33" s="167">
        <v>2</v>
      </c>
      <c r="L33" s="95">
        <f>VLOOKUP(K33,Reinigungstage!A10:M31,13,FALSE)</f>
        <v>105.26</v>
      </c>
      <c r="M33" s="95">
        <f t="shared" si="0"/>
        <v>1269.44</v>
      </c>
      <c r="N33" s="168">
        <f t="shared" si="1"/>
        <v>0</v>
      </c>
      <c r="O33" s="95">
        <f ca="1">IF('SVS UnterhaltsRG'!H61="",0,'SVS UnterhaltsRG'!H61)</f>
        <v>0</v>
      </c>
      <c r="P33" s="95">
        <f t="shared" si="2"/>
        <v>0</v>
      </c>
      <c r="Q33" s="95">
        <f t="shared" ca="1" si="3"/>
        <v>0</v>
      </c>
      <c r="R33" s="95">
        <f t="shared" si="4"/>
        <v>0</v>
      </c>
      <c r="S33" s="95">
        <f t="shared" ca="1" si="5"/>
        <v>0</v>
      </c>
      <c r="T33" s="3" t="str">
        <f t="shared" si="6"/>
        <v>Leistungswert eintragen</v>
      </c>
      <c r="U33" s="3">
        <f t="shared" si="7"/>
        <v>0</v>
      </c>
    </row>
    <row r="34" spans="1:21" ht="15" customHeight="1" x14ac:dyDescent="0.2">
      <c r="A34" s="153">
        <v>13</v>
      </c>
      <c r="B34" s="165"/>
      <c r="C34" s="166" t="s">
        <v>306</v>
      </c>
      <c r="D34" s="166">
        <v>7</v>
      </c>
      <c r="E34" s="166" t="s">
        <v>309</v>
      </c>
      <c r="F34" s="166" t="s">
        <v>480</v>
      </c>
      <c r="G34" s="167">
        <v>23.49</v>
      </c>
      <c r="H34" s="167"/>
      <c r="I34" s="167">
        <v>1</v>
      </c>
      <c r="J34" s="153" t="s">
        <v>310</v>
      </c>
      <c r="K34" s="167">
        <v>5</v>
      </c>
      <c r="L34" s="95">
        <f>VLOOKUP(K34,Reinigungstage!A10:M31,13,FALSE)</f>
        <v>253.33</v>
      </c>
      <c r="M34" s="95">
        <f t="shared" si="0"/>
        <v>5950.72</v>
      </c>
      <c r="N34" s="168">
        <f t="shared" si="1"/>
        <v>0</v>
      </c>
      <c r="O34" s="95">
        <f ca="1">IF('SVS UnterhaltsRG'!H61="",0,'SVS UnterhaltsRG'!H61)</f>
        <v>0</v>
      </c>
      <c r="P34" s="95">
        <f t="shared" si="2"/>
        <v>0</v>
      </c>
      <c r="Q34" s="95">
        <f t="shared" ca="1" si="3"/>
        <v>0</v>
      </c>
      <c r="R34" s="95">
        <f t="shared" si="4"/>
        <v>0</v>
      </c>
      <c r="S34" s="95">
        <f t="shared" ca="1" si="5"/>
        <v>0</v>
      </c>
      <c r="T34" s="3" t="str">
        <f t="shared" si="6"/>
        <v>Leistungswert eintragen</v>
      </c>
      <c r="U34" s="3">
        <f t="shared" si="7"/>
        <v>0</v>
      </c>
    </row>
    <row r="35" spans="1:21" ht="15" customHeight="1" x14ac:dyDescent="0.2">
      <c r="A35" s="153">
        <v>14</v>
      </c>
      <c r="B35" s="165"/>
      <c r="C35" s="166" t="s">
        <v>306</v>
      </c>
      <c r="D35" s="166"/>
      <c r="E35" s="166" t="s">
        <v>310</v>
      </c>
      <c r="F35" s="166" t="s">
        <v>280</v>
      </c>
      <c r="G35" s="167">
        <v>5.0999999999999996</v>
      </c>
      <c r="H35" s="167"/>
      <c r="I35" s="167"/>
      <c r="J35" s="153" t="s">
        <v>310</v>
      </c>
      <c r="K35" s="153" t="s">
        <v>162</v>
      </c>
      <c r="L35" s="95">
        <f>VLOOKUP(K35,Reinigungstage!A10:M31,13,FALSE)</f>
        <v>12</v>
      </c>
      <c r="M35" s="95">
        <f t="shared" si="0"/>
        <v>61.2</v>
      </c>
      <c r="N35" s="168">
        <f t="shared" si="1"/>
        <v>0</v>
      </c>
      <c r="O35" s="95">
        <f ca="1">IF('SVS UnterhaltsRG'!H61="",0,'SVS UnterhaltsRG'!H61)</f>
        <v>0</v>
      </c>
      <c r="P35" s="95">
        <f t="shared" si="2"/>
        <v>0</v>
      </c>
      <c r="Q35" s="95">
        <f t="shared" ca="1" si="3"/>
        <v>0</v>
      </c>
      <c r="R35" s="95">
        <f t="shared" si="4"/>
        <v>0</v>
      </c>
      <c r="S35" s="95">
        <f t="shared" ca="1" si="5"/>
        <v>0</v>
      </c>
      <c r="T35" s="3" t="str">
        <f t="shared" si="6"/>
        <v>Leistungswert eintragen</v>
      </c>
      <c r="U35" s="3">
        <f t="shared" si="7"/>
        <v>0</v>
      </c>
    </row>
    <row r="36" spans="1:21" ht="15" customHeight="1" x14ac:dyDescent="0.2">
      <c r="A36" s="153">
        <v>15</v>
      </c>
      <c r="B36" s="165"/>
      <c r="C36" s="166" t="s">
        <v>306</v>
      </c>
      <c r="D36" s="166"/>
      <c r="E36" s="166" t="s">
        <v>309</v>
      </c>
      <c r="F36" s="166" t="s">
        <v>293</v>
      </c>
      <c r="G36" s="167">
        <v>18.93</v>
      </c>
      <c r="H36" s="167"/>
      <c r="I36" s="167">
        <v>1</v>
      </c>
      <c r="J36" s="153" t="s">
        <v>310</v>
      </c>
      <c r="K36" s="167">
        <v>5</v>
      </c>
      <c r="L36" s="95">
        <f>VLOOKUP(K36,Reinigungstage!A10:M31,13,FALSE)</f>
        <v>253.33</v>
      </c>
      <c r="M36" s="95">
        <f t="shared" si="0"/>
        <v>4795.54</v>
      </c>
      <c r="N36" s="168">
        <f t="shared" si="1"/>
        <v>0</v>
      </c>
      <c r="O36" s="95">
        <f ca="1">IF('SVS UnterhaltsRG'!H61="",0,'SVS UnterhaltsRG'!H61)</f>
        <v>0</v>
      </c>
      <c r="P36" s="95">
        <f t="shared" si="2"/>
        <v>0</v>
      </c>
      <c r="Q36" s="95">
        <f t="shared" ca="1" si="3"/>
        <v>0</v>
      </c>
      <c r="R36" s="95">
        <f t="shared" si="4"/>
        <v>0</v>
      </c>
      <c r="S36" s="95">
        <f t="shared" ca="1" si="5"/>
        <v>0</v>
      </c>
      <c r="T36" s="3" t="str">
        <f t="shared" si="6"/>
        <v>Leistungswert eintragen</v>
      </c>
      <c r="U36" s="3">
        <f t="shared" si="7"/>
        <v>0</v>
      </c>
    </row>
    <row r="37" spans="1:21" ht="15" customHeight="1" x14ac:dyDescent="0.2">
      <c r="A37" s="153">
        <v>16</v>
      </c>
      <c r="B37" s="165"/>
      <c r="C37" s="166" t="s">
        <v>306</v>
      </c>
      <c r="D37" s="166"/>
      <c r="E37" s="166" t="s">
        <v>569</v>
      </c>
      <c r="F37" s="166" t="s">
        <v>293</v>
      </c>
      <c r="G37" s="167">
        <v>2.6</v>
      </c>
      <c r="H37" s="167"/>
      <c r="I37" s="167"/>
      <c r="J37" s="153" t="s">
        <v>314</v>
      </c>
      <c r="K37" s="167">
        <v>5</v>
      </c>
      <c r="L37" s="95">
        <f>VLOOKUP(K37,Reinigungstage!A10:M31,13,FALSE)</f>
        <v>253.33</v>
      </c>
      <c r="M37" s="95">
        <f t="shared" si="0"/>
        <v>658.66</v>
      </c>
      <c r="N37" s="168">
        <f t="shared" si="1"/>
        <v>0</v>
      </c>
      <c r="O37" s="95">
        <f ca="1">IF('SVS UnterhaltsRG'!H61="",0,'SVS UnterhaltsRG'!H61)</f>
        <v>0</v>
      </c>
      <c r="P37" s="95">
        <f t="shared" si="2"/>
        <v>0</v>
      </c>
      <c r="Q37" s="95">
        <f t="shared" ca="1" si="3"/>
        <v>0</v>
      </c>
      <c r="R37" s="95">
        <f t="shared" si="4"/>
        <v>0</v>
      </c>
      <c r="S37" s="95">
        <f t="shared" ca="1" si="5"/>
        <v>0</v>
      </c>
      <c r="T37" s="3" t="str">
        <f t="shared" si="6"/>
        <v>Leistungswert eintragen</v>
      </c>
      <c r="U37" s="3">
        <f t="shared" si="7"/>
        <v>0</v>
      </c>
    </row>
    <row r="38" spans="1:21" ht="15" customHeight="1" x14ac:dyDescent="0.2">
      <c r="A38" s="153">
        <v>17</v>
      </c>
      <c r="B38" s="165"/>
      <c r="C38" s="166" t="s">
        <v>306</v>
      </c>
      <c r="D38" s="166"/>
      <c r="E38" s="166" t="s">
        <v>380</v>
      </c>
      <c r="F38" s="166" t="s">
        <v>293</v>
      </c>
      <c r="G38" s="167">
        <v>6.73</v>
      </c>
      <c r="H38" s="167"/>
      <c r="I38" s="167"/>
      <c r="J38" s="153" t="s">
        <v>314</v>
      </c>
      <c r="K38" s="167">
        <v>5</v>
      </c>
      <c r="L38" s="95">
        <f>VLOOKUP(K38,Reinigungstage!A10:M31,13,FALSE)</f>
        <v>253.33</v>
      </c>
      <c r="M38" s="95">
        <f t="shared" si="0"/>
        <v>1704.91</v>
      </c>
      <c r="N38" s="168">
        <f t="shared" si="1"/>
        <v>0</v>
      </c>
      <c r="O38" s="95">
        <f ca="1">IF('SVS UnterhaltsRG'!H61="",0,'SVS UnterhaltsRG'!H61)</f>
        <v>0</v>
      </c>
      <c r="P38" s="95">
        <f t="shared" si="2"/>
        <v>0</v>
      </c>
      <c r="Q38" s="95">
        <f t="shared" ca="1" si="3"/>
        <v>0</v>
      </c>
      <c r="R38" s="95">
        <f t="shared" si="4"/>
        <v>0</v>
      </c>
      <c r="S38" s="95">
        <f t="shared" ca="1" si="5"/>
        <v>0</v>
      </c>
      <c r="T38" s="3" t="str">
        <f t="shared" si="6"/>
        <v>Leistungswert eintragen</v>
      </c>
      <c r="U38" s="3">
        <f t="shared" si="7"/>
        <v>0</v>
      </c>
    </row>
    <row r="39" spans="1:21" ht="15" customHeight="1" x14ac:dyDescent="0.2">
      <c r="A39" s="153">
        <v>18</v>
      </c>
      <c r="B39" s="165"/>
      <c r="C39" s="166" t="s">
        <v>306</v>
      </c>
      <c r="D39" s="166"/>
      <c r="E39" s="166" t="s">
        <v>310</v>
      </c>
      <c r="F39" s="166" t="s">
        <v>293</v>
      </c>
      <c r="G39" s="167">
        <v>7.92</v>
      </c>
      <c r="H39" s="167"/>
      <c r="I39" s="167">
        <v>1</v>
      </c>
      <c r="J39" s="153" t="s">
        <v>310</v>
      </c>
      <c r="K39" s="167">
        <v>5</v>
      </c>
      <c r="L39" s="95">
        <f>VLOOKUP(K39,Reinigungstage!A10:M31,13,FALSE)</f>
        <v>253.33</v>
      </c>
      <c r="M39" s="95">
        <f t="shared" si="0"/>
        <v>2006.37</v>
      </c>
      <c r="N39" s="168">
        <f t="shared" si="1"/>
        <v>0</v>
      </c>
      <c r="O39" s="95">
        <f ca="1">IF('SVS UnterhaltsRG'!H61="",0,'SVS UnterhaltsRG'!H61)</f>
        <v>0</v>
      </c>
      <c r="P39" s="95">
        <f t="shared" si="2"/>
        <v>0</v>
      </c>
      <c r="Q39" s="95">
        <f t="shared" ca="1" si="3"/>
        <v>0</v>
      </c>
      <c r="R39" s="95">
        <f t="shared" si="4"/>
        <v>0</v>
      </c>
      <c r="S39" s="95">
        <f t="shared" ca="1" si="5"/>
        <v>0</v>
      </c>
      <c r="T39" s="3" t="str">
        <f t="shared" si="6"/>
        <v>Leistungswert eintragen</v>
      </c>
      <c r="U39" s="3">
        <f t="shared" si="7"/>
        <v>0</v>
      </c>
    </row>
    <row r="40" spans="1:21" ht="15" customHeight="1" x14ac:dyDescent="0.2">
      <c r="A40" s="153">
        <v>19</v>
      </c>
      <c r="B40" s="165"/>
      <c r="C40" s="166" t="s">
        <v>276</v>
      </c>
      <c r="D40" s="166"/>
      <c r="E40" s="166" t="s">
        <v>570</v>
      </c>
      <c r="F40" s="166" t="s">
        <v>287</v>
      </c>
      <c r="G40" s="167">
        <v>1.71</v>
      </c>
      <c r="H40" s="167"/>
      <c r="I40" s="167"/>
      <c r="J40" s="153" t="s">
        <v>313</v>
      </c>
      <c r="K40" s="167">
        <v>5</v>
      </c>
      <c r="L40" s="95">
        <f>VLOOKUP(K40,Reinigungstage!A10:M31,13,FALSE)</f>
        <v>253.33</v>
      </c>
      <c r="M40" s="95">
        <f t="shared" si="0"/>
        <v>433.19</v>
      </c>
      <c r="N40" s="168">
        <f t="shared" si="1"/>
        <v>0</v>
      </c>
      <c r="O40" s="95">
        <f ca="1">IF('SVS UnterhaltsRG'!H61="",0,'SVS UnterhaltsRG'!H61)</f>
        <v>0</v>
      </c>
      <c r="P40" s="95">
        <f t="shared" si="2"/>
        <v>0</v>
      </c>
      <c r="Q40" s="95">
        <f t="shared" ca="1" si="3"/>
        <v>0</v>
      </c>
      <c r="R40" s="95">
        <f t="shared" si="4"/>
        <v>0</v>
      </c>
      <c r="S40" s="95">
        <f t="shared" ca="1" si="5"/>
        <v>0</v>
      </c>
      <c r="T40" s="3" t="str">
        <f t="shared" si="6"/>
        <v>Leistungswert eintragen</v>
      </c>
      <c r="U40" s="3">
        <f t="shared" si="7"/>
        <v>0</v>
      </c>
    </row>
    <row r="41" spans="1:21" ht="15" customHeight="1" x14ac:dyDescent="0.2">
      <c r="A41" s="153">
        <v>20</v>
      </c>
      <c r="B41" s="165"/>
      <c r="C41" s="166" t="s">
        <v>276</v>
      </c>
      <c r="D41" s="166"/>
      <c r="E41" s="166" t="s">
        <v>571</v>
      </c>
      <c r="F41" s="166" t="s">
        <v>572</v>
      </c>
      <c r="G41" s="167">
        <v>5.77</v>
      </c>
      <c r="H41" s="167"/>
      <c r="I41" s="167"/>
      <c r="J41" s="153" t="s">
        <v>312</v>
      </c>
      <c r="K41" s="153" t="s">
        <v>165</v>
      </c>
      <c r="L41" s="95">
        <f>VLOOKUP(K41,Reinigungstage!A10:M31,13,FALSE)</f>
        <v>4</v>
      </c>
      <c r="M41" s="95">
        <f t="shared" si="0"/>
        <v>23.08</v>
      </c>
      <c r="N41" s="168">
        <f t="shared" si="1"/>
        <v>0</v>
      </c>
      <c r="O41" s="95">
        <f ca="1">IF('SVS UnterhaltsRG'!H61="",0,'SVS UnterhaltsRG'!H61)</f>
        <v>0</v>
      </c>
      <c r="P41" s="95">
        <f t="shared" si="2"/>
        <v>0</v>
      </c>
      <c r="Q41" s="95">
        <f t="shared" ca="1" si="3"/>
        <v>0</v>
      </c>
      <c r="R41" s="95">
        <f t="shared" si="4"/>
        <v>0</v>
      </c>
      <c r="S41" s="95">
        <f t="shared" ca="1" si="5"/>
        <v>0</v>
      </c>
      <c r="T41" s="3" t="str">
        <f t="shared" si="6"/>
        <v>Leistungswert eintragen</v>
      </c>
      <c r="U41" s="3">
        <f t="shared" si="7"/>
        <v>0</v>
      </c>
    </row>
    <row r="42" spans="1:21" ht="15" customHeight="1" x14ac:dyDescent="0.2">
      <c r="A42" s="153">
        <v>21</v>
      </c>
      <c r="B42" s="165"/>
      <c r="C42" s="166" t="s">
        <v>276</v>
      </c>
      <c r="D42" s="166"/>
      <c r="E42" s="166" t="s">
        <v>309</v>
      </c>
      <c r="F42" s="166" t="s">
        <v>293</v>
      </c>
      <c r="G42" s="167">
        <v>9.98</v>
      </c>
      <c r="H42" s="167"/>
      <c r="I42" s="167">
        <v>1</v>
      </c>
      <c r="J42" s="153" t="s">
        <v>310</v>
      </c>
      <c r="K42" s="167">
        <v>5</v>
      </c>
      <c r="L42" s="95">
        <f>VLOOKUP(K42,Reinigungstage!A10:M31,13,FALSE)</f>
        <v>253.33</v>
      </c>
      <c r="M42" s="95">
        <f t="shared" si="0"/>
        <v>2528.23</v>
      </c>
      <c r="N42" s="168">
        <f t="shared" si="1"/>
        <v>0</v>
      </c>
      <c r="O42" s="95">
        <f ca="1">IF('SVS UnterhaltsRG'!H61="",0,'SVS UnterhaltsRG'!H61)</f>
        <v>0</v>
      </c>
      <c r="P42" s="95">
        <f t="shared" si="2"/>
        <v>0</v>
      </c>
      <c r="Q42" s="95">
        <f t="shared" ca="1" si="3"/>
        <v>0</v>
      </c>
      <c r="R42" s="95">
        <f t="shared" si="4"/>
        <v>0</v>
      </c>
      <c r="S42" s="95">
        <f t="shared" ca="1" si="5"/>
        <v>0</v>
      </c>
      <c r="T42" s="3" t="str">
        <f t="shared" si="6"/>
        <v>Leistungswert eintragen</v>
      </c>
      <c r="U42" s="3">
        <f t="shared" si="7"/>
        <v>0</v>
      </c>
    </row>
    <row r="43" spans="1:21" ht="15" customHeight="1" x14ac:dyDescent="0.2">
      <c r="A43" s="153">
        <v>22</v>
      </c>
      <c r="B43" s="165"/>
      <c r="C43" s="166" t="s">
        <v>276</v>
      </c>
      <c r="D43" s="166"/>
      <c r="E43" s="166" t="s">
        <v>310</v>
      </c>
      <c r="F43" s="166" t="s">
        <v>293</v>
      </c>
      <c r="G43" s="167">
        <v>3.84</v>
      </c>
      <c r="H43" s="167"/>
      <c r="I43" s="167"/>
      <c r="J43" s="153" t="s">
        <v>310</v>
      </c>
      <c r="K43" s="167">
        <v>5</v>
      </c>
      <c r="L43" s="95">
        <f>VLOOKUP(K43,Reinigungstage!A10:M31,13,FALSE)</f>
        <v>253.33</v>
      </c>
      <c r="M43" s="95">
        <f t="shared" si="0"/>
        <v>972.79</v>
      </c>
      <c r="N43" s="168">
        <f t="shared" si="1"/>
        <v>0</v>
      </c>
      <c r="O43" s="95">
        <f ca="1">IF('SVS UnterhaltsRG'!H61="",0,'SVS UnterhaltsRG'!H61)</f>
        <v>0</v>
      </c>
      <c r="P43" s="95">
        <f t="shared" si="2"/>
        <v>0</v>
      </c>
      <c r="Q43" s="95">
        <f t="shared" ca="1" si="3"/>
        <v>0</v>
      </c>
      <c r="R43" s="95">
        <f t="shared" si="4"/>
        <v>0</v>
      </c>
      <c r="S43" s="95">
        <f t="shared" ca="1" si="5"/>
        <v>0</v>
      </c>
      <c r="T43" s="3" t="str">
        <f t="shared" si="6"/>
        <v>Leistungswert eintragen</v>
      </c>
      <c r="U43" s="3">
        <f t="shared" si="7"/>
        <v>0</v>
      </c>
    </row>
    <row r="44" spans="1:21" ht="15" customHeight="1" x14ac:dyDescent="0.2">
      <c r="A44" s="153">
        <v>23</v>
      </c>
      <c r="B44" s="165"/>
      <c r="C44" s="166" t="s">
        <v>276</v>
      </c>
      <c r="D44" s="166" t="s">
        <v>507</v>
      </c>
      <c r="E44" s="166" t="s">
        <v>283</v>
      </c>
      <c r="F44" s="166" t="s">
        <v>293</v>
      </c>
      <c r="G44" s="167">
        <v>6.62</v>
      </c>
      <c r="H44" s="167"/>
      <c r="I44" s="167">
        <v>1</v>
      </c>
      <c r="J44" s="153" t="s">
        <v>313</v>
      </c>
      <c r="K44" s="167">
        <v>5</v>
      </c>
      <c r="L44" s="95">
        <f>VLOOKUP(K44,Reinigungstage!A10:M31,13,FALSE)</f>
        <v>253.33</v>
      </c>
      <c r="M44" s="95">
        <f t="shared" si="0"/>
        <v>1677.04</v>
      </c>
      <c r="N44" s="168">
        <f t="shared" si="1"/>
        <v>0</v>
      </c>
      <c r="O44" s="95">
        <f ca="1">IF('SVS UnterhaltsRG'!H61="",0,'SVS UnterhaltsRG'!H61)</f>
        <v>0</v>
      </c>
      <c r="P44" s="95">
        <f t="shared" si="2"/>
        <v>0</v>
      </c>
      <c r="Q44" s="95">
        <f t="shared" ca="1" si="3"/>
        <v>0</v>
      </c>
      <c r="R44" s="95">
        <f t="shared" si="4"/>
        <v>0</v>
      </c>
      <c r="S44" s="95">
        <f t="shared" ca="1" si="5"/>
        <v>0</v>
      </c>
      <c r="T44" s="3" t="str">
        <f t="shared" si="6"/>
        <v>Leistungswert eintragen</v>
      </c>
      <c r="U44" s="3">
        <f t="shared" si="7"/>
        <v>0</v>
      </c>
    </row>
    <row r="45" spans="1:21" ht="15" customHeight="1" x14ac:dyDescent="0.2">
      <c r="A45" s="153">
        <v>24</v>
      </c>
      <c r="B45" s="165"/>
      <c r="C45" s="166" t="s">
        <v>276</v>
      </c>
      <c r="D45" s="166"/>
      <c r="E45" s="166" t="s">
        <v>304</v>
      </c>
      <c r="F45" s="166" t="s">
        <v>287</v>
      </c>
      <c r="G45" s="167">
        <v>7.2</v>
      </c>
      <c r="H45" s="167"/>
      <c r="I45" s="167"/>
      <c r="J45" s="153" t="s">
        <v>312</v>
      </c>
      <c r="K45" s="153" t="s">
        <v>162</v>
      </c>
      <c r="L45" s="95">
        <f>VLOOKUP(K45,Reinigungstage!A10:M31,13,FALSE)</f>
        <v>12</v>
      </c>
      <c r="M45" s="95">
        <f t="shared" si="0"/>
        <v>86.4</v>
      </c>
      <c r="N45" s="168">
        <f t="shared" si="1"/>
        <v>0</v>
      </c>
      <c r="O45" s="95">
        <f ca="1">IF('SVS UnterhaltsRG'!H61="",0,'SVS UnterhaltsRG'!H61)</f>
        <v>0</v>
      </c>
      <c r="P45" s="95">
        <f t="shared" si="2"/>
        <v>0</v>
      </c>
      <c r="Q45" s="95">
        <f t="shared" ca="1" si="3"/>
        <v>0</v>
      </c>
      <c r="R45" s="95">
        <f t="shared" si="4"/>
        <v>0</v>
      </c>
      <c r="S45" s="95">
        <f t="shared" ca="1" si="5"/>
        <v>0</v>
      </c>
      <c r="T45" s="3" t="str">
        <f t="shared" si="6"/>
        <v>Leistungswert eintragen</v>
      </c>
      <c r="U45" s="3">
        <f t="shared" si="7"/>
        <v>0</v>
      </c>
    </row>
    <row r="46" spans="1:21" ht="15" customHeight="1" x14ac:dyDescent="0.2">
      <c r="A46" s="153">
        <v>25</v>
      </c>
      <c r="B46" s="165"/>
      <c r="C46" s="166" t="s">
        <v>276</v>
      </c>
      <c r="D46" s="166"/>
      <c r="E46" s="166" t="s">
        <v>296</v>
      </c>
      <c r="F46" s="166" t="s">
        <v>293</v>
      </c>
      <c r="G46" s="167">
        <v>4.9000000000000004</v>
      </c>
      <c r="H46" s="167"/>
      <c r="I46" s="167"/>
      <c r="J46" s="153" t="s">
        <v>314</v>
      </c>
      <c r="K46" s="167">
        <v>5</v>
      </c>
      <c r="L46" s="95">
        <f>VLOOKUP(K46,Reinigungstage!A10:M31,13,FALSE)</f>
        <v>253.33</v>
      </c>
      <c r="M46" s="95">
        <f t="shared" si="0"/>
        <v>1241.32</v>
      </c>
      <c r="N46" s="168">
        <f t="shared" si="1"/>
        <v>0</v>
      </c>
      <c r="O46" s="95">
        <f ca="1">IF('SVS UnterhaltsRG'!H61="",0,'SVS UnterhaltsRG'!H61)</f>
        <v>0</v>
      </c>
      <c r="P46" s="95">
        <f t="shared" si="2"/>
        <v>0</v>
      </c>
      <c r="Q46" s="95">
        <f t="shared" ca="1" si="3"/>
        <v>0</v>
      </c>
      <c r="R46" s="95">
        <f t="shared" si="4"/>
        <v>0</v>
      </c>
      <c r="S46" s="95">
        <f t="shared" ca="1" si="5"/>
        <v>0</v>
      </c>
      <c r="T46" s="3" t="str">
        <f t="shared" si="6"/>
        <v>Leistungswert eintragen</v>
      </c>
      <c r="U46" s="3">
        <f t="shared" si="7"/>
        <v>0</v>
      </c>
    </row>
    <row r="47" spans="1:21" ht="15" customHeight="1" x14ac:dyDescent="0.2">
      <c r="A47" s="153">
        <v>26</v>
      </c>
      <c r="B47" s="165"/>
      <c r="C47" s="166" t="s">
        <v>276</v>
      </c>
      <c r="D47" s="166"/>
      <c r="E47" s="166" t="s">
        <v>573</v>
      </c>
      <c r="F47" s="166" t="s">
        <v>293</v>
      </c>
      <c r="G47" s="167">
        <v>5.82</v>
      </c>
      <c r="H47" s="167"/>
      <c r="I47" s="167"/>
      <c r="J47" s="153" t="s">
        <v>314</v>
      </c>
      <c r="K47" s="167">
        <v>5</v>
      </c>
      <c r="L47" s="95">
        <f>VLOOKUP(K47,Reinigungstage!A10:M31,13,FALSE)</f>
        <v>253.33</v>
      </c>
      <c r="M47" s="95">
        <f t="shared" si="0"/>
        <v>1474.38</v>
      </c>
      <c r="N47" s="168">
        <f t="shared" si="1"/>
        <v>0</v>
      </c>
      <c r="O47" s="95">
        <f ca="1">IF('SVS UnterhaltsRG'!H61="",0,'SVS UnterhaltsRG'!H61)</f>
        <v>0</v>
      </c>
      <c r="P47" s="95">
        <f t="shared" si="2"/>
        <v>0</v>
      </c>
      <c r="Q47" s="95">
        <f t="shared" ca="1" si="3"/>
        <v>0</v>
      </c>
      <c r="R47" s="95">
        <f t="shared" si="4"/>
        <v>0</v>
      </c>
      <c r="S47" s="95">
        <f t="shared" ca="1" si="5"/>
        <v>0</v>
      </c>
      <c r="T47" s="3" t="str">
        <f t="shared" si="6"/>
        <v>Leistungswert eintragen</v>
      </c>
      <c r="U47" s="3">
        <f t="shared" si="7"/>
        <v>0</v>
      </c>
    </row>
    <row r="48" spans="1:21" ht="15" customHeight="1" x14ac:dyDescent="0.2">
      <c r="A48" s="153">
        <v>27</v>
      </c>
      <c r="B48" s="165"/>
      <c r="C48" s="166" t="s">
        <v>276</v>
      </c>
      <c r="D48" s="166"/>
      <c r="E48" s="166" t="s">
        <v>381</v>
      </c>
      <c r="F48" s="166" t="s">
        <v>293</v>
      </c>
      <c r="G48" s="167">
        <v>4.57</v>
      </c>
      <c r="H48" s="167"/>
      <c r="I48" s="167"/>
      <c r="J48" s="153" t="s">
        <v>314</v>
      </c>
      <c r="K48" s="167">
        <v>5</v>
      </c>
      <c r="L48" s="95">
        <f>VLOOKUP(K48,Reinigungstage!A10:M31,13,FALSE)</f>
        <v>253.33</v>
      </c>
      <c r="M48" s="95">
        <f t="shared" si="0"/>
        <v>1157.72</v>
      </c>
      <c r="N48" s="168">
        <f t="shared" si="1"/>
        <v>0</v>
      </c>
      <c r="O48" s="95">
        <f ca="1">IF('SVS UnterhaltsRG'!H61="",0,'SVS UnterhaltsRG'!H61)</f>
        <v>0</v>
      </c>
      <c r="P48" s="95">
        <f t="shared" si="2"/>
        <v>0</v>
      </c>
      <c r="Q48" s="95">
        <f t="shared" ca="1" si="3"/>
        <v>0</v>
      </c>
      <c r="R48" s="95">
        <f t="shared" si="4"/>
        <v>0</v>
      </c>
      <c r="S48" s="95">
        <f t="shared" ca="1" si="5"/>
        <v>0</v>
      </c>
      <c r="T48" s="3" t="str">
        <f t="shared" si="6"/>
        <v>Leistungswert eintragen</v>
      </c>
      <c r="U48" s="3">
        <f t="shared" si="7"/>
        <v>0</v>
      </c>
    </row>
    <row r="49" spans="1:21" ht="15" customHeight="1" x14ac:dyDescent="0.2">
      <c r="A49" s="153">
        <v>28</v>
      </c>
      <c r="B49" s="165" t="s">
        <v>574</v>
      </c>
      <c r="C49" s="166" t="s">
        <v>276</v>
      </c>
      <c r="D49" s="166"/>
      <c r="E49" s="166" t="s">
        <v>402</v>
      </c>
      <c r="F49" s="166" t="s">
        <v>330</v>
      </c>
      <c r="G49" s="167">
        <v>22.08</v>
      </c>
      <c r="H49" s="167"/>
      <c r="I49" s="167"/>
      <c r="J49" s="153" t="s">
        <v>402</v>
      </c>
      <c r="K49" s="167">
        <v>2</v>
      </c>
      <c r="L49" s="95">
        <f>VLOOKUP(K49,Reinigungstage!A10:M31,13,FALSE)</f>
        <v>105.26</v>
      </c>
      <c r="M49" s="95">
        <f t="shared" si="0"/>
        <v>2324.14</v>
      </c>
      <c r="N49" s="168">
        <f t="shared" si="1"/>
        <v>0</v>
      </c>
      <c r="O49" s="95">
        <f ca="1">IF('SVS UnterhaltsRG'!H61="",0,'SVS UnterhaltsRG'!H61)</f>
        <v>0</v>
      </c>
      <c r="P49" s="95">
        <f t="shared" si="2"/>
        <v>0</v>
      </c>
      <c r="Q49" s="95">
        <f t="shared" ca="1" si="3"/>
        <v>0</v>
      </c>
      <c r="R49" s="95">
        <f t="shared" si="4"/>
        <v>0</v>
      </c>
      <c r="S49" s="95">
        <f t="shared" ca="1" si="5"/>
        <v>0</v>
      </c>
      <c r="T49" s="3" t="str">
        <f t="shared" si="6"/>
        <v>Leistungswert eintragen</v>
      </c>
      <c r="U49" s="3">
        <f t="shared" si="7"/>
        <v>0</v>
      </c>
    </row>
    <row r="50" spans="1:21" ht="15" customHeight="1" x14ac:dyDescent="0.2">
      <c r="A50" s="153">
        <v>29</v>
      </c>
      <c r="B50" s="165" t="s">
        <v>575</v>
      </c>
      <c r="C50" s="166" t="s">
        <v>276</v>
      </c>
      <c r="D50" s="166"/>
      <c r="E50" s="166" t="s">
        <v>402</v>
      </c>
      <c r="F50" s="166" t="s">
        <v>330</v>
      </c>
      <c r="G50" s="167">
        <v>48.94</v>
      </c>
      <c r="H50" s="167"/>
      <c r="I50" s="167"/>
      <c r="J50" s="153" t="s">
        <v>402</v>
      </c>
      <c r="K50" s="167">
        <v>2</v>
      </c>
      <c r="L50" s="95">
        <f>VLOOKUP(K50,Reinigungstage!A10:M31,13,FALSE)</f>
        <v>105.26</v>
      </c>
      <c r="M50" s="95">
        <f t="shared" si="0"/>
        <v>5151.42</v>
      </c>
      <c r="N50" s="168">
        <f t="shared" si="1"/>
        <v>0</v>
      </c>
      <c r="O50" s="95">
        <f ca="1">IF('SVS UnterhaltsRG'!H61="",0,'SVS UnterhaltsRG'!H61)</f>
        <v>0</v>
      </c>
      <c r="P50" s="95">
        <f t="shared" si="2"/>
        <v>0</v>
      </c>
      <c r="Q50" s="95">
        <f t="shared" ca="1" si="3"/>
        <v>0</v>
      </c>
      <c r="R50" s="95">
        <f t="shared" si="4"/>
        <v>0</v>
      </c>
      <c r="S50" s="95">
        <f t="shared" ca="1" si="5"/>
        <v>0</v>
      </c>
      <c r="T50" s="3" t="str">
        <f t="shared" si="6"/>
        <v>Leistungswert eintragen</v>
      </c>
      <c r="U50" s="3">
        <f t="shared" si="7"/>
        <v>0</v>
      </c>
    </row>
    <row r="51" spans="1:21" ht="15" customHeight="1" x14ac:dyDescent="0.2">
      <c r="A51" s="153">
        <v>30</v>
      </c>
      <c r="B51" s="165"/>
      <c r="C51" s="166" t="s">
        <v>276</v>
      </c>
      <c r="D51" s="166"/>
      <c r="E51" s="166" t="s">
        <v>268</v>
      </c>
      <c r="F51" s="166" t="s">
        <v>330</v>
      </c>
      <c r="G51" s="167">
        <v>18.16</v>
      </c>
      <c r="H51" s="167"/>
      <c r="I51" s="167"/>
      <c r="J51" s="153" t="s">
        <v>402</v>
      </c>
      <c r="K51" s="167">
        <v>2</v>
      </c>
      <c r="L51" s="95">
        <f>VLOOKUP(K51,Reinigungstage!A10:M31,13,FALSE)</f>
        <v>105.26</v>
      </c>
      <c r="M51" s="95">
        <f t="shared" si="0"/>
        <v>1911.52</v>
      </c>
      <c r="N51" s="168">
        <f t="shared" si="1"/>
        <v>0</v>
      </c>
      <c r="O51" s="95">
        <f ca="1">IF('SVS UnterhaltsRG'!H61="",0,'SVS UnterhaltsRG'!H61)</f>
        <v>0</v>
      </c>
      <c r="P51" s="95">
        <f t="shared" si="2"/>
        <v>0</v>
      </c>
      <c r="Q51" s="95">
        <f t="shared" ca="1" si="3"/>
        <v>0</v>
      </c>
      <c r="R51" s="95">
        <f t="shared" si="4"/>
        <v>0</v>
      </c>
      <c r="S51" s="95">
        <f t="shared" ca="1" si="5"/>
        <v>0</v>
      </c>
      <c r="T51" s="3" t="str">
        <f t="shared" si="6"/>
        <v>Leistungswert eintragen</v>
      </c>
      <c r="U51" s="3">
        <f t="shared" si="7"/>
        <v>0</v>
      </c>
    </row>
    <row r="52" spans="1:21" ht="15" customHeight="1" x14ac:dyDescent="0.2">
      <c r="A52" s="153">
        <v>31</v>
      </c>
      <c r="B52" s="165"/>
      <c r="C52" s="166" t="s">
        <v>276</v>
      </c>
      <c r="D52" s="166"/>
      <c r="E52" s="166" t="s">
        <v>268</v>
      </c>
      <c r="F52" s="166" t="s">
        <v>330</v>
      </c>
      <c r="G52" s="167">
        <v>36.9</v>
      </c>
      <c r="H52" s="167"/>
      <c r="I52" s="167"/>
      <c r="J52" s="153" t="s">
        <v>402</v>
      </c>
      <c r="K52" s="167">
        <v>2</v>
      </c>
      <c r="L52" s="95">
        <f>VLOOKUP(K52,Reinigungstage!A10:M31,13,FALSE)</f>
        <v>105.26</v>
      </c>
      <c r="M52" s="95">
        <f t="shared" si="0"/>
        <v>3884.09</v>
      </c>
      <c r="N52" s="168">
        <f t="shared" si="1"/>
        <v>0</v>
      </c>
      <c r="O52" s="95">
        <f ca="1">IF('SVS UnterhaltsRG'!H61="",0,'SVS UnterhaltsRG'!H61)</f>
        <v>0</v>
      </c>
      <c r="P52" s="95">
        <f t="shared" si="2"/>
        <v>0</v>
      </c>
      <c r="Q52" s="95">
        <f t="shared" ca="1" si="3"/>
        <v>0</v>
      </c>
      <c r="R52" s="95">
        <f t="shared" si="4"/>
        <v>0</v>
      </c>
      <c r="S52" s="95">
        <f t="shared" ca="1" si="5"/>
        <v>0</v>
      </c>
      <c r="T52" s="3" t="str">
        <f t="shared" si="6"/>
        <v>Leistungswert eintragen</v>
      </c>
      <c r="U52" s="3">
        <f t="shared" si="7"/>
        <v>0</v>
      </c>
    </row>
    <row r="53" spans="1:21" ht="15" customHeight="1" x14ac:dyDescent="0.2">
      <c r="A53" s="153">
        <v>32</v>
      </c>
      <c r="B53" s="165"/>
      <c r="C53" s="166" t="s">
        <v>276</v>
      </c>
      <c r="D53" s="166" t="s">
        <v>574</v>
      </c>
      <c r="E53" s="166" t="s">
        <v>288</v>
      </c>
      <c r="F53" s="166" t="s">
        <v>293</v>
      </c>
      <c r="G53" s="167">
        <v>47.9</v>
      </c>
      <c r="H53" s="167"/>
      <c r="I53" s="167">
        <v>7</v>
      </c>
      <c r="J53" s="153" t="s">
        <v>313</v>
      </c>
      <c r="K53" s="167">
        <v>5</v>
      </c>
      <c r="L53" s="95">
        <f>VLOOKUP(K53,Reinigungstage!A10:M31,13,FALSE)</f>
        <v>253.33</v>
      </c>
      <c r="M53" s="95">
        <f t="shared" si="0"/>
        <v>12134.51</v>
      </c>
      <c r="N53" s="168">
        <f t="shared" si="1"/>
        <v>0</v>
      </c>
      <c r="O53" s="95">
        <f ca="1">IF('SVS UnterhaltsRG'!H61="",0,'SVS UnterhaltsRG'!H61)</f>
        <v>0</v>
      </c>
      <c r="P53" s="95">
        <f t="shared" si="2"/>
        <v>0</v>
      </c>
      <c r="Q53" s="95">
        <f t="shared" ca="1" si="3"/>
        <v>0</v>
      </c>
      <c r="R53" s="95">
        <f t="shared" si="4"/>
        <v>0</v>
      </c>
      <c r="S53" s="95">
        <f t="shared" ca="1" si="5"/>
        <v>0</v>
      </c>
      <c r="T53" s="3" t="str">
        <f t="shared" si="6"/>
        <v>Leistungswert eintragen</v>
      </c>
      <c r="U53" s="3">
        <f t="shared" si="7"/>
        <v>0</v>
      </c>
    </row>
    <row r="54" spans="1:21" ht="15" customHeight="1" x14ac:dyDescent="0.2">
      <c r="A54" s="153">
        <v>33</v>
      </c>
      <c r="B54" s="165"/>
      <c r="C54" s="166" t="s">
        <v>276</v>
      </c>
      <c r="D54" s="166" t="s">
        <v>295</v>
      </c>
      <c r="E54" s="166" t="s">
        <v>310</v>
      </c>
      <c r="F54" s="166" t="s">
        <v>293</v>
      </c>
      <c r="G54" s="167">
        <v>0.66</v>
      </c>
      <c r="H54" s="167"/>
      <c r="I54" s="167"/>
      <c r="J54" s="153" t="s">
        <v>310</v>
      </c>
      <c r="K54" s="167">
        <v>5</v>
      </c>
      <c r="L54" s="95">
        <f>VLOOKUP(K54,Reinigungstage!A10:M31,13,FALSE)</f>
        <v>253.33</v>
      </c>
      <c r="M54" s="95">
        <f t="shared" si="0"/>
        <v>167.2</v>
      </c>
      <c r="N54" s="168">
        <f t="shared" si="1"/>
        <v>0</v>
      </c>
      <c r="O54" s="95">
        <f ca="1">IF('SVS UnterhaltsRG'!H61="",0,'SVS UnterhaltsRG'!H61)</f>
        <v>0</v>
      </c>
      <c r="P54" s="95">
        <f t="shared" si="2"/>
        <v>0</v>
      </c>
      <c r="Q54" s="95">
        <f t="shared" ca="1" si="3"/>
        <v>0</v>
      </c>
      <c r="R54" s="95">
        <f t="shared" si="4"/>
        <v>0</v>
      </c>
      <c r="S54" s="95">
        <f t="shared" ca="1" si="5"/>
        <v>0</v>
      </c>
      <c r="T54" s="3" t="str">
        <f t="shared" si="6"/>
        <v>Leistungswert eintragen</v>
      </c>
      <c r="U54" s="3">
        <f t="shared" si="7"/>
        <v>0</v>
      </c>
    </row>
    <row r="55" spans="1:21" ht="15" customHeight="1" x14ac:dyDescent="0.2">
      <c r="A55" s="153">
        <v>34</v>
      </c>
      <c r="B55" s="165"/>
      <c r="C55" s="166" t="s">
        <v>276</v>
      </c>
      <c r="D55" s="166" t="s">
        <v>295</v>
      </c>
      <c r="E55" s="166" t="s">
        <v>561</v>
      </c>
      <c r="F55" s="166" t="s">
        <v>293</v>
      </c>
      <c r="G55" s="167">
        <v>12.95</v>
      </c>
      <c r="H55" s="167"/>
      <c r="I55" s="167"/>
      <c r="J55" s="153" t="s">
        <v>312</v>
      </c>
      <c r="K55" s="153" t="s">
        <v>162</v>
      </c>
      <c r="L55" s="95">
        <f>VLOOKUP(K55,Reinigungstage!A10:M31,13,FALSE)</f>
        <v>12</v>
      </c>
      <c r="M55" s="95">
        <f t="shared" si="0"/>
        <v>155.4</v>
      </c>
      <c r="N55" s="168">
        <f t="shared" si="1"/>
        <v>0</v>
      </c>
      <c r="O55" s="95">
        <f ca="1">IF('SVS UnterhaltsRG'!H61="",0,'SVS UnterhaltsRG'!H61)</f>
        <v>0</v>
      </c>
      <c r="P55" s="95">
        <f t="shared" si="2"/>
        <v>0</v>
      </c>
      <c r="Q55" s="95">
        <f t="shared" ca="1" si="3"/>
        <v>0</v>
      </c>
      <c r="R55" s="95">
        <f t="shared" si="4"/>
        <v>0</v>
      </c>
      <c r="S55" s="95">
        <f t="shared" ca="1" si="5"/>
        <v>0</v>
      </c>
      <c r="T55" s="3" t="str">
        <f t="shared" si="6"/>
        <v>Leistungswert eintragen</v>
      </c>
      <c r="U55" s="3">
        <f t="shared" si="7"/>
        <v>0</v>
      </c>
    </row>
    <row r="56" spans="1:21" ht="21" x14ac:dyDescent="0.2">
      <c r="A56" s="153">
        <v>35</v>
      </c>
      <c r="B56" s="165"/>
      <c r="C56" s="166" t="s">
        <v>306</v>
      </c>
      <c r="D56" s="166" t="s">
        <v>576</v>
      </c>
      <c r="E56" s="166" t="s">
        <v>310</v>
      </c>
      <c r="F56" s="166" t="s">
        <v>280</v>
      </c>
      <c r="G56" s="167">
        <v>2.73</v>
      </c>
      <c r="H56" s="167"/>
      <c r="I56" s="167"/>
      <c r="J56" s="153" t="s">
        <v>310</v>
      </c>
      <c r="K56" s="167">
        <v>1</v>
      </c>
      <c r="L56" s="95">
        <f>VLOOKUP(K56,Reinigungstage!A10:M31,13,FALSE)</f>
        <v>52.62</v>
      </c>
      <c r="M56" s="95">
        <f t="shared" si="0"/>
        <v>143.65</v>
      </c>
      <c r="N56" s="168">
        <f t="shared" si="1"/>
        <v>0</v>
      </c>
      <c r="O56" s="95">
        <f ca="1">IF('SVS UnterhaltsRG'!H61="",0,'SVS UnterhaltsRG'!H61)</f>
        <v>0</v>
      </c>
      <c r="P56" s="95">
        <f t="shared" si="2"/>
        <v>0</v>
      </c>
      <c r="Q56" s="95">
        <f t="shared" ca="1" si="3"/>
        <v>0</v>
      </c>
      <c r="R56" s="95">
        <f t="shared" si="4"/>
        <v>0</v>
      </c>
      <c r="S56" s="95">
        <f t="shared" ca="1" si="5"/>
        <v>0</v>
      </c>
      <c r="T56" s="3" t="str">
        <f t="shared" si="6"/>
        <v>Leistungswert eintragen</v>
      </c>
      <c r="U56" s="3">
        <f t="shared" si="7"/>
        <v>0</v>
      </c>
    </row>
    <row r="57" spans="1:21" ht="15" customHeight="1" x14ac:dyDescent="0.2">
      <c r="A57" s="153">
        <v>36</v>
      </c>
      <c r="B57" s="165"/>
      <c r="C57" s="166" t="s">
        <v>276</v>
      </c>
      <c r="D57" s="166" t="s">
        <v>507</v>
      </c>
      <c r="E57" s="166" t="s">
        <v>283</v>
      </c>
      <c r="F57" s="166" t="s">
        <v>293</v>
      </c>
      <c r="G57" s="167">
        <v>10.199999999999999</v>
      </c>
      <c r="H57" s="167"/>
      <c r="I57" s="167"/>
      <c r="J57" s="153" t="s">
        <v>313</v>
      </c>
      <c r="K57" s="167">
        <v>5</v>
      </c>
      <c r="L57" s="95">
        <f>VLOOKUP(K57,Reinigungstage!A10:M31,13,FALSE)</f>
        <v>253.33</v>
      </c>
      <c r="M57" s="95">
        <f t="shared" si="0"/>
        <v>2583.9699999999998</v>
      </c>
      <c r="N57" s="168">
        <f t="shared" si="1"/>
        <v>0</v>
      </c>
      <c r="O57" s="95">
        <f ca="1">IF('SVS UnterhaltsRG'!H61="",0,'SVS UnterhaltsRG'!H61)</f>
        <v>0</v>
      </c>
      <c r="P57" s="95">
        <f t="shared" si="2"/>
        <v>0</v>
      </c>
      <c r="Q57" s="95">
        <f t="shared" ca="1" si="3"/>
        <v>0</v>
      </c>
      <c r="R57" s="95">
        <f t="shared" si="4"/>
        <v>0</v>
      </c>
      <c r="S57" s="95">
        <f t="shared" ca="1" si="5"/>
        <v>0</v>
      </c>
      <c r="T57" s="3" t="str">
        <f t="shared" si="6"/>
        <v>Leistungswert eintragen</v>
      </c>
      <c r="U57" s="3">
        <f t="shared" si="7"/>
        <v>0</v>
      </c>
    </row>
  </sheetData>
  <sheetProtection algorithmName="SHA-512" hashValue="eB3rdGhXQn4elB7oeu5r+UmEF2f6ooljfwHqSAffiPxo3KpAXpnHQpFfwm8cIuIWhXArJDN0uosr+wD3mGCEAg==" saltValue="4+NG5PmdJ8wsQCwUwyRHWQ==" spinCount="100000" sheet="1" objects="1" scenarios="1"/>
  <sortState xmlns:xlrd2="http://schemas.microsoft.com/office/spreadsheetml/2017/richdata2" ref="U4:U10">
    <sortCondition ref="U4"/>
  </sortState>
  <mergeCells count="16">
    <mergeCell ref="B13:E13"/>
    <mergeCell ref="B4:E5"/>
    <mergeCell ref="B6:E6"/>
    <mergeCell ref="B7:E7"/>
    <mergeCell ref="B8:E8"/>
    <mergeCell ref="B9:E9"/>
    <mergeCell ref="B10:E10"/>
    <mergeCell ref="B11:E11"/>
    <mergeCell ref="B12:E12"/>
    <mergeCell ref="N2:Q5"/>
    <mergeCell ref="A4:A5"/>
    <mergeCell ref="A2:E2"/>
    <mergeCell ref="G2:G3"/>
    <mergeCell ref="H2:H3"/>
    <mergeCell ref="I2:I3"/>
    <mergeCell ref="J2:J3"/>
  </mergeCells>
  <conditionalFormatting sqref="T22:T57">
    <cfRule type="containsText" dxfId="102" priority="1" stopIfTrue="1" operator="containsText" text="SVS prüfen">
      <formula>NOT(ISERROR(SEARCH("SVS prüfen",T22)))</formula>
    </cfRule>
    <cfRule type="containsText" dxfId="101" priority="2" stopIfTrue="1" operator="containsText" text="Leistungswert eintragen">
      <formula>NOT(ISERROR(SEARCH("Leistungswert eintragen",T22)))</formula>
    </cfRule>
  </conditionalFormatting>
  <hyperlinks>
    <hyperlink ref="M1" location="Inhaltsverzeichnis!A1" display="Zurück zum Inhaltsverzeichnis" xr:uid="{44AB4ACA-1DD4-48E6-87CA-3F57278C635E}"/>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&amp;RKal Unter Verwaltung II&amp;LStadt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sizeWithCells="1">
                  <from>
                    <xdr:col>12</xdr:col>
                    <xdr:colOff>19050</xdr:colOff>
                    <xdr:row>1</xdr:row>
                    <xdr:rowOff>38100</xdr:rowOff>
                  </from>
                  <to>
                    <xdr:col>12</xdr:col>
                    <xdr:colOff>809625</xdr:colOff>
                    <xdr:row>2</xdr:row>
                    <xdr:rowOff>19050</xdr:rowOff>
                  </to>
                </anchor>
              </controlPr>
            </control>
          </mc:Choice>
        </mc:AlternateContent>
        <mc:AlternateContent xmlns:mc="http://schemas.openxmlformats.org/markup-compatibility/2006">
          <mc:Choice Requires="x14">
            <control shapeId="100354" r:id="rId5" name="Check Box 2">
              <controlPr defaultSize="0" autoFill="0" autoLine="0" autoPict="0" altText="Hinweis 2">
                <anchor moveWithCells="1" sizeWithCells="1">
                  <from>
                    <xdr:col>12</xdr:col>
                    <xdr:colOff>19050</xdr:colOff>
                    <xdr:row>2</xdr:row>
                    <xdr:rowOff>19050</xdr:rowOff>
                  </from>
                  <to>
                    <xdr:col>12</xdr:col>
                    <xdr:colOff>809625</xdr:colOff>
                    <xdr:row>2</xdr:row>
                    <xdr:rowOff>266700</xdr:rowOff>
                  </to>
                </anchor>
              </controlPr>
            </control>
          </mc:Choice>
        </mc:AlternateContent>
        <mc:AlternateContent xmlns:mc="http://schemas.openxmlformats.org/markup-compatibility/2006">
          <mc:Choice Requires="x14">
            <control shapeId="100355" r:id="rId6" name="Check Box 3">
              <controlPr defaultSize="0" autoFill="0" autoLine="0" autoPict="0" altText="Hinweis 3">
                <anchor moveWithCells="1" sizeWithCells="1">
                  <from>
                    <xdr:col>12</xdr:col>
                    <xdr:colOff>19050</xdr:colOff>
                    <xdr:row>3</xdr:row>
                    <xdr:rowOff>9525</xdr:rowOff>
                  </from>
                  <to>
                    <xdr:col>12</xdr:col>
                    <xdr:colOff>809625</xdr:colOff>
                    <xdr:row>4</xdr:row>
                    <xdr:rowOff>57150</xdr:rowOff>
                  </to>
                </anchor>
              </controlPr>
            </control>
          </mc:Choice>
        </mc:AlternateContent>
        <mc:AlternateContent xmlns:mc="http://schemas.openxmlformats.org/markup-compatibility/2006">
          <mc:Choice Requires="x14">
            <control shapeId="100356" r:id="rId7" name="Check Box 4">
              <controlPr defaultSize="0" autoFill="0" autoLine="0" autoPict="0" altText="Hinweis 3">
                <anchor moveWithCells="1" sizeWithCells="1">
                  <from>
                    <xdr:col>12</xdr:col>
                    <xdr:colOff>19050</xdr:colOff>
                    <xdr:row>4</xdr:row>
                    <xdr:rowOff>66675</xdr:rowOff>
                  </from>
                  <to>
                    <xdr:col>12</xdr:col>
                    <xdr:colOff>809625</xdr:colOff>
                    <xdr:row>5</xdr:row>
                    <xdr:rowOff>123825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6">
    <tabColor indexed="16"/>
  </sheetPr>
  <dimension ref="A1:L39"/>
  <sheetViews>
    <sheetView showGridLines="0" zoomScaleNormal="100" workbookViewId="0"/>
  </sheetViews>
  <sheetFormatPr baseColWidth="10" defaultColWidth="0" defaultRowHeight="15" customHeight="1" x14ac:dyDescent="0.15"/>
  <cols>
    <col min="1" max="1" width="7.7109375" style="17" customWidth="1"/>
    <col min="2" max="2" width="24.5703125" style="17" customWidth="1"/>
    <col min="3" max="3" width="17.42578125" style="17" customWidth="1"/>
    <col min="4" max="4" width="12.28515625" style="17" customWidth="1"/>
    <col min="5" max="5" width="15" style="17" customWidth="1"/>
    <col min="6" max="7" width="13.28515625" style="44" customWidth="1"/>
    <col min="8" max="8" width="14.85546875" style="17" customWidth="1"/>
    <col min="9" max="9" width="11.5703125" style="17" customWidth="1"/>
    <col min="10" max="10" width="10" style="44" customWidth="1"/>
    <col min="11" max="11" width="13.85546875" style="44" customWidth="1"/>
    <col min="12" max="12" width="21.7109375" style="17" customWidth="1"/>
    <col min="13" max="16384" width="0" style="17" hidden="1"/>
  </cols>
  <sheetData>
    <row r="1" spans="1:12" ht="26.1" customHeight="1" x14ac:dyDescent="0.15">
      <c r="A1" s="16" t="s">
        <v>603</v>
      </c>
      <c r="B1" s="16"/>
      <c r="C1" s="16"/>
      <c r="D1" s="16"/>
      <c r="E1" s="16"/>
      <c r="F1" s="31"/>
      <c r="G1" s="32" t="s">
        <v>100</v>
      </c>
      <c r="I1" s="27"/>
      <c r="J1" s="31"/>
    </row>
    <row r="2" spans="1:12" ht="24.95" customHeight="1" x14ac:dyDescent="0.15">
      <c r="A2" s="16" t="s">
        <v>105</v>
      </c>
      <c r="B2" s="18" t="str">
        <f>IF(Inhaltsverzeichnis!$C$3="", "",Inhaltsverzeichnis!$C$3)</f>
        <v/>
      </c>
      <c r="C2" s="16"/>
      <c r="D2" s="29" t="b">
        <v>0</v>
      </c>
      <c r="E2" s="241" t="str">
        <f>IF(D2=TRUE,"Hier ist lediglich der Preis pro Tausch (€) auszufüllen.
Die rot markierten Informationen verschwinden, wenn die gelben Zellen ausgefüllt sind.  Wenn keine rote Schrift mehr angezeigt wird, ist alles ausgefüllt.",IF(D3=TRUE,"Die Spalte Fläche (m²) setzt sich aus der Fläche einer Matte multipliziert mit der Anzahl der Matten zusammen. Der Preis pro Tausch (€) ist für die gesamte Fläche einzutragen und nicht für eine Matte.",""))</f>
        <v/>
      </c>
      <c r="F2" s="241"/>
      <c r="G2" s="241"/>
      <c r="H2" s="241"/>
      <c r="I2" s="35"/>
      <c r="J2" s="35"/>
      <c r="K2" s="33"/>
    </row>
    <row r="3" spans="1:12" ht="24.95" customHeight="1" x14ac:dyDescent="0.15">
      <c r="A3" s="16"/>
      <c r="B3" s="16"/>
      <c r="C3" s="16"/>
      <c r="D3" s="29" t="b">
        <v>0</v>
      </c>
      <c r="E3" s="242"/>
      <c r="F3" s="242"/>
      <c r="G3" s="242"/>
      <c r="H3" s="242"/>
      <c r="I3" s="37"/>
      <c r="J3" s="37"/>
      <c r="K3" s="33"/>
      <c r="L3" s="30">
        <f>IF(COUNTA($L$6)-COUNTBLANK($L$6)=0,"",COUNTA($L$6)-COUNTBLANK($L$6))</f>
        <v>1</v>
      </c>
    </row>
    <row r="4" spans="1:12" ht="24.95" customHeight="1" x14ac:dyDescent="0.15">
      <c r="A4" s="243" t="s">
        <v>92</v>
      </c>
      <c r="B4" s="243" t="s">
        <v>115</v>
      </c>
      <c r="C4" s="243" t="s">
        <v>122</v>
      </c>
      <c r="D4" s="237" t="s">
        <v>213</v>
      </c>
      <c r="E4" s="237" t="s">
        <v>214</v>
      </c>
      <c r="F4" s="245" t="s">
        <v>215</v>
      </c>
      <c r="G4" s="246"/>
      <c r="H4" s="247" t="s">
        <v>216</v>
      </c>
      <c r="I4" s="237" t="s">
        <v>123</v>
      </c>
      <c r="J4" s="239" t="s">
        <v>217</v>
      </c>
      <c r="K4" s="239" t="s">
        <v>218</v>
      </c>
    </row>
    <row r="5" spans="1:12" ht="24.95" customHeight="1" x14ac:dyDescent="0.15">
      <c r="A5" s="244"/>
      <c r="B5" s="244"/>
      <c r="C5" s="244"/>
      <c r="D5" s="238"/>
      <c r="E5" s="238"/>
      <c r="F5" s="39" t="s">
        <v>219</v>
      </c>
      <c r="G5" s="39" t="s">
        <v>220</v>
      </c>
      <c r="H5" s="248"/>
      <c r="I5" s="238"/>
      <c r="J5" s="240"/>
      <c r="K5" s="240"/>
    </row>
    <row r="6" spans="1:12" ht="24.95" customHeight="1" x14ac:dyDescent="0.15">
      <c r="A6" s="104">
        <v>1</v>
      </c>
      <c r="B6" s="105" t="s">
        <v>250</v>
      </c>
      <c r="C6" s="105" t="s">
        <v>580</v>
      </c>
      <c r="D6" s="106" t="s">
        <v>161</v>
      </c>
      <c r="E6" s="106">
        <v>3</v>
      </c>
      <c r="F6" s="107">
        <v>400</v>
      </c>
      <c r="G6" s="107">
        <v>150</v>
      </c>
      <c r="H6" s="107">
        <f>F6*G6/10000*E6</f>
        <v>18</v>
      </c>
      <c r="I6" s="107">
        <f>VLOOKUP(D6,Reinigungstage!A10:Z31,26,FALSE)</f>
        <v>10</v>
      </c>
      <c r="J6" s="185"/>
      <c r="K6" s="107">
        <f>IF(H6=0,0,ROUND($I$6*$J$6,2))</f>
        <v>0</v>
      </c>
      <c r="L6" s="16" t="str">
        <f>IF(H6=0,"",IF(J6=0,"Preis eintragen",""))</f>
        <v>Preis eintragen</v>
      </c>
    </row>
    <row r="7" spans="1:12" ht="15" customHeight="1" x14ac:dyDescent="0.15">
      <c r="A7" s="16"/>
      <c r="B7" s="16"/>
      <c r="C7" s="16"/>
      <c r="D7" s="16"/>
      <c r="E7" s="16"/>
      <c r="F7" s="16"/>
      <c r="G7" s="16"/>
      <c r="H7" s="16"/>
      <c r="I7" s="16"/>
      <c r="J7" s="16"/>
      <c r="K7" s="16"/>
    </row>
    <row r="8" spans="1:12" ht="15" customHeight="1" x14ac:dyDescent="0.15">
      <c r="A8" s="16"/>
      <c r="B8" s="16" t="s">
        <v>653</v>
      </c>
      <c r="C8" s="16"/>
      <c r="D8" s="16"/>
      <c r="E8" s="16"/>
      <c r="F8" s="16"/>
      <c r="G8" s="16"/>
      <c r="H8" s="16"/>
      <c r="I8" s="16"/>
      <c r="J8" s="16"/>
      <c r="K8" s="16"/>
    </row>
    <row r="9" spans="1:12" ht="15" customHeight="1" x14ac:dyDescent="0.15">
      <c r="A9" s="16"/>
      <c r="B9" s="16" t="s">
        <v>654</v>
      </c>
      <c r="C9" s="16"/>
      <c r="D9" s="16"/>
      <c r="E9" s="16"/>
      <c r="F9" s="16"/>
      <c r="G9" s="16"/>
      <c r="H9" s="16"/>
      <c r="I9" s="16"/>
      <c r="J9" s="16"/>
      <c r="K9" s="16"/>
    </row>
    <row r="10" spans="1:12" ht="15" customHeight="1" x14ac:dyDescent="0.15">
      <c r="A10" s="16"/>
      <c r="B10" s="16"/>
      <c r="C10" s="16"/>
      <c r="D10" s="16"/>
      <c r="E10" s="16"/>
      <c r="F10" s="16"/>
      <c r="G10" s="16"/>
      <c r="H10" s="16"/>
      <c r="I10" s="16"/>
      <c r="J10" s="16"/>
      <c r="K10" s="16"/>
    </row>
    <row r="11" spans="1:12" ht="15" customHeight="1" x14ac:dyDescent="0.15">
      <c r="A11" s="16"/>
      <c r="B11" s="16"/>
      <c r="C11" s="16"/>
      <c r="D11" s="16"/>
      <c r="E11" s="16"/>
      <c r="F11" s="16"/>
      <c r="G11" s="16"/>
      <c r="H11" s="16"/>
      <c r="I11" s="16"/>
      <c r="J11" s="16"/>
      <c r="K11" s="16"/>
    </row>
    <row r="12" spans="1:12" ht="15" customHeight="1" x14ac:dyDescent="0.15">
      <c r="A12" s="16"/>
      <c r="B12" s="16"/>
      <c r="C12" s="16"/>
      <c r="D12" s="16"/>
      <c r="E12" s="16"/>
      <c r="F12" s="16"/>
      <c r="G12" s="16"/>
      <c r="H12" s="16"/>
      <c r="I12" s="16"/>
      <c r="J12" s="16"/>
      <c r="K12" s="16"/>
    </row>
    <row r="13" spans="1:12" ht="15" customHeight="1" x14ac:dyDescent="0.15">
      <c r="A13" s="16"/>
      <c r="B13" s="16"/>
      <c r="C13" s="16"/>
      <c r="D13" s="16"/>
      <c r="E13" s="16"/>
      <c r="F13" s="16"/>
      <c r="G13" s="16"/>
      <c r="H13" s="16"/>
      <c r="I13" s="16"/>
      <c r="J13" s="16"/>
      <c r="K13" s="16"/>
    </row>
    <row r="14" spans="1:12" ht="15" customHeight="1" x14ac:dyDescent="0.15">
      <c r="A14" s="16"/>
      <c r="B14" s="16"/>
      <c r="C14" s="16"/>
      <c r="D14" s="16"/>
      <c r="E14" s="16"/>
      <c r="F14" s="16"/>
      <c r="G14" s="16"/>
      <c r="H14" s="16"/>
      <c r="I14" s="16"/>
      <c r="J14" s="16"/>
      <c r="K14" s="16"/>
    </row>
    <row r="15" spans="1:12" ht="15" customHeight="1" x14ac:dyDescent="0.15">
      <c r="A15" s="16"/>
      <c r="B15" s="16"/>
      <c r="C15" s="16"/>
      <c r="D15" s="16"/>
      <c r="E15" s="16"/>
      <c r="F15" s="16"/>
      <c r="G15" s="16"/>
      <c r="H15" s="16"/>
      <c r="I15" s="16"/>
      <c r="J15" s="16"/>
      <c r="K15" s="16"/>
    </row>
    <row r="16" spans="1:12" ht="15" customHeight="1" x14ac:dyDescent="0.15">
      <c r="A16" s="16"/>
      <c r="B16" s="16"/>
      <c r="C16" s="16"/>
      <c r="D16" s="16"/>
      <c r="E16" s="16"/>
      <c r="F16" s="16"/>
      <c r="G16" s="16"/>
      <c r="H16" s="16"/>
      <c r="I16" s="16"/>
      <c r="J16" s="16"/>
      <c r="K16" s="16"/>
    </row>
    <row r="17" spans="1:11" ht="15" customHeight="1" x14ac:dyDescent="0.15">
      <c r="A17" s="16"/>
      <c r="B17" s="16"/>
      <c r="C17" s="16"/>
      <c r="D17" s="16"/>
      <c r="E17" s="16"/>
      <c r="F17" s="16"/>
      <c r="G17" s="16"/>
      <c r="H17" s="16"/>
      <c r="I17" s="16"/>
      <c r="J17" s="16"/>
      <c r="K17" s="16"/>
    </row>
    <row r="18" spans="1:11" ht="15" customHeight="1" x14ac:dyDescent="0.15">
      <c r="A18" s="16"/>
      <c r="B18" s="16"/>
      <c r="C18" s="16"/>
      <c r="D18" s="16"/>
      <c r="E18" s="16"/>
      <c r="F18" s="16"/>
      <c r="G18" s="16"/>
      <c r="H18" s="16"/>
      <c r="I18" s="16"/>
      <c r="J18" s="16"/>
      <c r="K18" s="16"/>
    </row>
    <row r="19" spans="1:11" ht="15" customHeight="1" x14ac:dyDescent="0.15">
      <c r="A19" s="16"/>
      <c r="B19" s="16"/>
      <c r="C19" s="16"/>
      <c r="D19" s="16"/>
      <c r="E19" s="16"/>
      <c r="F19" s="16"/>
      <c r="G19" s="16"/>
      <c r="H19" s="16"/>
      <c r="I19" s="16"/>
      <c r="J19" s="16"/>
      <c r="K19" s="16"/>
    </row>
    <row r="20" spans="1:11" ht="15" customHeight="1" x14ac:dyDescent="0.15">
      <c r="A20" s="16"/>
      <c r="B20" s="16"/>
      <c r="C20" s="16"/>
      <c r="D20" s="16"/>
      <c r="E20" s="16"/>
      <c r="F20" s="16"/>
      <c r="G20" s="16"/>
      <c r="H20" s="16"/>
      <c r="I20" s="16"/>
      <c r="J20" s="16"/>
      <c r="K20" s="16"/>
    </row>
    <row r="21" spans="1:11" ht="15" customHeight="1" x14ac:dyDescent="0.15">
      <c r="A21" s="16"/>
      <c r="B21" s="16"/>
      <c r="C21" s="16"/>
      <c r="D21" s="16"/>
      <c r="E21" s="16"/>
      <c r="F21" s="16"/>
      <c r="G21" s="16"/>
      <c r="H21" s="16"/>
      <c r="I21" s="16"/>
      <c r="J21" s="16"/>
      <c r="K21" s="16"/>
    </row>
    <row r="22" spans="1:11" ht="15" customHeight="1" x14ac:dyDescent="0.15">
      <c r="A22" s="16"/>
      <c r="B22" s="16"/>
      <c r="C22" s="16"/>
      <c r="D22" s="16"/>
      <c r="E22" s="16"/>
      <c r="F22" s="16"/>
      <c r="G22" s="16"/>
      <c r="H22" s="16"/>
      <c r="I22" s="16"/>
      <c r="J22" s="16"/>
      <c r="K22" s="16"/>
    </row>
    <row r="23" spans="1:11" ht="15" customHeight="1" x14ac:dyDescent="0.15">
      <c r="A23" s="16"/>
      <c r="B23" s="16"/>
      <c r="C23" s="16"/>
      <c r="D23" s="16"/>
      <c r="E23" s="16"/>
      <c r="F23" s="16"/>
      <c r="G23" s="16"/>
      <c r="H23" s="16"/>
      <c r="I23" s="16"/>
      <c r="J23" s="16"/>
      <c r="K23" s="16"/>
    </row>
    <row r="24" spans="1:11" ht="15" customHeight="1" x14ac:dyDescent="0.15">
      <c r="A24" s="16"/>
      <c r="B24" s="16"/>
      <c r="C24" s="16"/>
      <c r="D24" s="16"/>
      <c r="E24" s="16"/>
      <c r="F24" s="16"/>
      <c r="G24" s="16"/>
      <c r="H24" s="16"/>
      <c r="I24" s="16"/>
      <c r="J24" s="16"/>
      <c r="K24" s="16"/>
    </row>
    <row r="25" spans="1:11" ht="15" customHeight="1" x14ac:dyDescent="0.15">
      <c r="A25" s="16"/>
      <c r="B25" s="16"/>
      <c r="C25" s="16"/>
      <c r="D25" s="16"/>
      <c r="E25" s="16"/>
      <c r="F25" s="16"/>
      <c r="G25" s="16"/>
      <c r="H25" s="16"/>
      <c r="I25" s="16"/>
      <c r="J25" s="16"/>
      <c r="K25" s="16"/>
    </row>
    <row r="26" spans="1:11" ht="15" customHeight="1" x14ac:dyDescent="0.15">
      <c r="A26" s="16"/>
      <c r="B26" s="16"/>
      <c r="C26" s="16"/>
      <c r="D26" s="16"/>
      <c r="E26" s="16"/>
      <c r="F26" s="16"/>
      <c r="G26" s="16"/>
      <c r="H26" s="16"/>
      <c r="I26" s="16"/>
      <c r="J26" s="16"/>
      <c r="K26" s="16"/>
    </row>
    <row r="27" spans="1:11" ht="15" customHeight="1" x14ac:dyDescent="0.15">
      <c r="A27" s="16"/>
      <c r="B27" s="16"/>
      <c r="C27" s="16"/>
      <c r="D27" s="16"/>
      <c r="E27" s="16"/>
      <c r="F27" s="16"/>
      <c r="G27" s="16"/>
      <c r="H27" s="16"/>
      <c r="I27" s="16"/>
      <c r="J27" s="16"/>
      <c r="K27" s="16"/>
    </row>
    <row r="28" spans="1:11" ht="15" customHeight="1" x14ac:dyDescent="0.15">
      <c r="A28" s="16"/>
      <c r="B28" s="16"/>
      <c r="C28" s="16"/>
      <c r="D28" s="16"/>
      <c r="E28" s="16"/>
      <c r="F28" s="16"/>
      <c r="G28" s="16"/>
      <c r="H28" s="16"/>
      <c r="I28" s="16"/>
      <c r="J28" s="16"/>
      <c r="K28" s="16"/>
    </row>
    <row r="29" spans="1:11" ht="15" customHeight="1" x14ac:dyDescent="0.15">
      <c r="A29" s="16"/>
      <c r="B29" s="16"/>
      <c r="C29" s="16"/>
      <c r="D29" s="16"/>
      <c r="E29" s="16"/>
      <c r="F29" s="16"/>
      <c r="G29" s="16"/>
      <c r="H29" s="16"/>
      <c r="I29" s="16"/>
      <c r="J29" s="16"/>
      <c r="K29" s="16"/>
    </row>
    <row r="30" spans="1:11" ht="15" customHeight="1" x14ac:dyDescent="0.15">
      <c r="A30" s="16"/>
      <c r="B30" s="16"/>
      <c r="C30" s="16"/>
      <c r="D30" s="16"/>
      <c r="E30" s="16"/>
      <c r="F30" s="16"/>
      <c r="G30" s="16"/>
      <c r="H30" s="16"/>
      <c r="I30" s="16"/>
      <c r="J30" s="16"/>
      <c r="K30" s="16"/>
    </row>
    <row r="31" spans="1:11" ht="15" customHeight="1" x14ac:dyDescent="0.15">
      <c r="A31" s="16"/>
      <c r="B31" s="16"/>
      <c r="C31" s="16"/>
      <c r="D31" s="16"/>
      <c r="E31" s="16"/>
      <c r="F31" s="16"/>
      <c r="G31" s="16"/>
      <c r="H31" s="16"/>
      <c r="I31" s="16"/>
      <c r="J31" s="16"/>
      <c r="K31" s="16"/>
    </row>
    <row r="32" spans="1:11" ht="15" customHeight="1" x14ac:dyDescent="0.15">
      <c r="A32" s="16"/>
      <c r="B32" s="16"/>
      <c r="C32" s="16"/>
      <c r="D32" s="16"/>
      <c r="E32" s="16"/>
      <c r="F32" s="16"/>
      <c r="G32" s="16"/>
      <c r="H32" s="16"/>
      <c r="I32" s="16"/>
      <c r="J32" s="16"/>
      <c r="K32" s="16"/>
    </row>
    <row r="33" spans="1:11" ht="15" customHeight="1" x14ac:dyDescent="0.15">
      <c r="A33" s="16"/>
      <c r="B33" s="16"/>
      <c r="C33" s="16"/>
      <c r="D33" s="16"/>
      <c r="E33" s="16"/>
      <c r="F33" s="16"/>
      <c r="G33" s="16"/>
      <c r="H33" s="16"/>
      <c r="I33" s="16"/>
      <c r="J33" s="16"/>
      <c r="K33" s="16"/>
    </row>
    <row r="34" spans="1:11" ht="15" customHeight="1" x14ac:dyDescent="0.15">
      <c r="A34" s="16"/>
      <c r="B34" s="16"/>
      <c r="C34" s="16"/>
      <c r="D34" s="16"/>
      <c r="E34" s="16"/>
      <c r="F34" s="16"/>
      <c r="G34" s="16"/>
      <c r="H34" s="16"/>
      <c r="I34" s="16"/>
      <c r="J34" s="16"/>
      <c r="K34" s="16"/>
    </row>
    <row r="35" spans="1:11" ht="15" customHeight="1" x14ac:dyDescent="0.15">
      <c r="A35" s="16"/>
      <c r="B35" s="16"/>
      <c r="C35" s="16"/>
      <c r="D35" s="16"/>
      <c r="E35" s="16"/>
      <c r="F35" s="16"/>
      <c r="G35" s="16"/>
      <c r="H35" s="16"/>
      <c r="I35" s="16"/>
      <c r="J35" s="16"/>
      <c r="K35" s="16"/>
    </row>
    <row r="36" spans="1:11" ht="15" customHeight="1" x14ac:dyDescent="0.15">
      <c r="A36" s="16"/>
      <c r="B36" s="16"/>
      <c r="C36" s="16"/>
      <c r="D36" s="16"/>
      <c r="E36" s="16"/>
      <c r="F36" s="16"/>
      <c r="G36" s="16"/>
      <c r="H36" s="16"/>
      <c r="I36" s="16"/>
      <c r="J36" s="16"/>
      <c r="K36" s="16"/>
    </row>
    <row r="37" spans="1:11" ht="15" customHeight="1" x14ac:dyDescent="0.15">
      <c r="A37" s="16"/>
      <c r="B37" s="16"/>
      <c r="C37" s="16"/>
      <c r="D37" s="16"/>
      <c r="E37" s="16"/>
      <c r="F37" s="16"/>
      <c r="G37" s="16"/>
      <c r="H37" s="16"/>
      <c r="I37" s="16"/>
      <c r="J37" s="16"/>
      <c r="K37" s="16"/>
    </row>
    <row r="38" spans="1:11" ht="15" customHeight="1" x14ac:dyDescent="0.15">
      <c r="A38" s="16"/>
      <c r="B38" s="16"/>
      <c r="C38" s="16"/>
      <c r="D38" s="16"/>
      <c r="E38" s="16"/>
      <c r="F38" s="16"/>
      <c r="G38" s="16"/>
      <c r="H38" s="16"/>
      <c r="I38" s="16"/>
      <c r="J38" s="16"/>
      <c r="K38" s="16"/>
    </row>
    <row r="39" spans="1:11" ht="15" customHeight="1" x14ac:dyDescent="0.15">
      <c r="A39" s="16"/>
      <c r="B39" s="16"/>
      <c r="C39" s="16"/>
      <c r="D39" s="16"/>
      <c r="E39" s="16"/>
      <c r="F39" s="16"/>
      <c r="G39" s="16"/>
      <c r="H39" s="16"/>
      <c r="I39" s="16"/>
      <c r="J39" s="16"/>
      <c r="K39" s="16"/>
    </row>
  </sheetData>
  <sheetProtection algorithmName="SHA-512" hashValue="05m9LxqLQqTaE+hMe+qjBsbMbSRI+jmIdNLq+XVQTmaHx1BnLxeKMMFjToyao6yY6Saq3O1YmEoFvyPlVhmWfQ==" saltValue="cvRUUEJZQpF4nxCGpCFGwg==" spinCount="100000" sheet="1" objects="1" scenarios="1"/>
  <mergeCells count="11">
    <mergeCell ref="I4:I5"/>
    <mergeCell ref="J4:J5"/>
    <mergeCell ref="K4:K5"/>
    <mergeCell ref="E2:H3"/>
    <mergeCell ref="A4:A5"/>
    <mergeCell ref="B4:B5"/>
    <mergeCell ref="C4:C5"/>
    <mergeCell ref="D4:D5"/>
    <mergeCell ref="E4:E5"/>
    <mergeCell ref="F4:G4"/>
    <mergeCell ref="H4:H5"/>
  </mergeCells>
  <phoneticPr fontId="4" type="noConversion"/>
  <conditionalFormatting sqref="L6">
    <cfRule type="containsText" dxfId="100" priority="1" stopIfTrue="1" operator="containsText" text="Preis eintragen">
      <formula>NOT(ISERROR(SEARCH("Preis eintragen",L6)))</formula>
    </cfRule>
  </conditionalFormatting>
  <hyperlinks>
    <hyperlink ref="G1" location="Inhaltsverzeichnis!A1" display="Zurück zum Inhaltsverzeichnis" xr:uid="{E65CBA42-460D-4F2D-B1AE-B3B1DF91A74C}"/>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&amp;RKal Matten Gesamt&amp;LStadt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060" r:id="rId4" name="Check Box 4">
              <controlPr defaultSize="0" autoFill="0" autoLine="0" autoPict="0" altText="Hinweis">
                <anchor moveWithCells="1">
                  <from>
                    <xdr:col>3</xdr:col>
                    <xdr:colOff>38100</xdr:colOff>
                    <xdr:row>1</xdr:row>
                    <xdr:rowOff>57150</xdr:rowOff>
                  </from>
                  <to>
                    <xdr:col>3</xdr:col>
                    <xdr:colOff>809625</xdr:colOff>
                    <xdr:row>1</xdr:row>
                    <xdr:rowOff>304800</xdr:rowOff>
                  </to>
                </anchor>
              </controlPr>
            </control>
          </mc:Choice>
        </mc:AlternateContent>
        <mc:AlternateContent xmlns:mc="http://schemas.openxmlformats.org/markup-compatibility/2006">
          <mc:Choice Requires="x14">
            <control shapeId="45062" r:id="rId5" name="Check Box 6">
              <controlPr defaultSize="0" autoFill="0" autoLine="0" autoPict="0" altText="Hinweis">
                <anchor moveWithCells="1">
                  <from>
                    <xdr:col>3</xdr:col>
                    <xdr:colOff>38100</xdr:colOff>
                    <xdr:row>2</xdr:row>
                    <xdr:rowOff>19050</xdr:rowOff>
                  </from>
                  <to>
                    <xdr:col>3</xdr:col>
                    <xdr:colOff>809625</xdr:colOff>
                    <xdr:row>2</xdr:row>
                    <xdr:rowOff>266700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C4278-B1FE-4BB9-A99F-6E286B858E4C}">
  <sheetPr codeName="Tabelle18">
    <tabColor rgb="FF800000"/>
  </sheetPr>
  <dimension ref="A1:L38"/>
  <sheetViews>
    <sheetView showGridLines="0" zoomScaleNormal="100" workbookViewId="0"/>
  </sheetViews>
  <sheetFormatPr baseColWidth="10" defaultColWidth="0" defaultRowHeight="10.5" x14ac:dyDescent="0.15"/>
  <cols>
    <col min="1" max="1" width="7.7109375" style="17" customWidth="1"/>
    <col min="2" max="2" width="28.7109375" style="17" customWidth="1"/>
    <col min="3" max="3" width="15.7109375" style="17" customWidth="1"/>
    <col min="4" max="4" width="12.7109375" style="17" customWidth="1"/>
    <col min="5" max="5" width="13.7109375" style="17" customWidth="1"/>
    <col min="6" max="6" width="11.42578125" style="17" customWidth="1"/>
    <col min="7" max="7" width="16.28515625" style="17" customWidth="1"/>
    <col min="8" max="8" width="22.28515625" style="17" customWidth="1"/>
    <col min="9" max="12" width="0" style="17" hidden="1" customWidth="1"/>
    <col min="13" max="16384" width="0" style="17" hidden="1"/>
  </cols>
  <sheetData>
    <row r="1" spans="1:12" ht="21.95" customHeight="1" x14ac:dyDescent="0.15">
      <c r="A1" s="16" t="s">
        <v>237</v>
      </c>
      <c r="B1" s="16"/>
      <c r="C1" s="16"/>
      <c r="E1" s="26" t="s">
        <v>100</v>
      </c>
      <c r="F1" s="26"/>
    </row>
    <row r="2" spans="1:12" ht="75" customHeight="1" x14ac:dyDescent="0.15">
      <c r="A2" s="16" t="s">
        <v>105</v>
      </c>
      <c r="B2" s="18" t="str">
        <f>IF(Inhaltsverzeichnis!$C$3="", "",Inhaltsverzeichnis!$C$3)</f>
        <v/>
      </c>
      <c r="C2" s="43" t="s">
        <v>230</v>
      </c>
      <c r="D2" s="47" t="b">
        <v>0</v>
      </c>
      <c r="E2" s="241" t="str">
        <f>IF(D2=TRUE,"Bitte tragen Sie Ihre Leistungswerte in die gelben Zellen direkt unter der Zelle Leistungswerte (m²/h) ein. " &amp; "Die rot markierten Informationen sind nur zur Unterstützung. Sie zeigen an, wenn gelbe Zellen in dieser Tabelle nicht ausgefüllt sind. " &amp;
"Wenn keine rote Schrift mehr angezeigt wird, ist alles ausgefüllt.","")</f>
        <v/>
      </c>
      <c r="F2" s="241"/>
      <c r="G2" s="241"/>
      <c r="H2" s="35"/>
      <c r="I2" s="35"/>
      <c r="J2" s="35"/>
      <c r="K2" s="35"/>
      <c r="L2" s="35"/>
    </row>
    <row r="3" spans="1:12" ht="15" customHeight="1" x14ac:dyDescent="0.15">
      <c r="E3" s="37"/>
      <c r="F3" s="37"/>
      <c r="G3" s="37"/>
      <c r="H3" s="48">
        <f>IF(COUNTA($H$5:H6)-COUNTBLANK($H$5:H6)=0,"",COUNTA($H$5:H6)-COUNTBLANK($H$5:H6))</f>
        <v>2</v>
      </c>
      <c r="I3" s="35"/>
      <c r="J3" s="35"/>
      <c r="K3" s="35"/>
      <c r="L3" s="35"/>
    </row>
    <row r="4" spans="1:12" ht="35.25" customHeight="1" x14ac:dyDescent="0.15">
      <c r="A4" s="42" t="s">
        <v>92</v>
      </c>
      <c r="B4" s="42" t="s">
        <v>115</v>
      </c>
      <c r="C4" s="42" t="s">
        <v>240</v>
      </c>
      <c r="D4" s="41" t="s">
        <v>238</v>
      </c>
      <c r="E4" s="38" t="s">
        <v>241</v>
      </c>
      <c r="F4" s="38" t="s">
        <v>211</v>
      </c>
      <c r="G4" s="41" t="s">
        <v>239</v>
      </c>
      <c r="H4" s="49"/>
    </row>
    <row r="5" spans="1:12" ht="24.95" customHeight="1" x14ac:dyDescent="0.15">
      <c r="A5" s="63">
        <v>1</v>
      </c>
      <c r="B5" s="108" t="s">
        <v>244</v>
      </c>
      <c r="C5" s="108"/>
      <c r="D5" s="103">
        <v>50</v>
      </c>
      <c r="E5" s="186"/>
      <c r="F5" s="103">
        <f ca="1">IF('SVS GrundRG'!$H$61="",0,'SVS GrundRG'!$H$61)</f>
        <v>0</v>
      </c>
      <c r="G5" s="103">
        <f>IF(E5="",0,ROUND($D$5/$E$5*$F$5,2))</f>
        <v>0</v>
      </c>
      <c r="H5" s="16" t="str">
        <f>IF(D5=0,"",IF(E5="","Leistungswert eintragen",IF(F5=0,"SVS prüfen","")))</f>
        <v>Leistungswert eintragen</v>
      </c>
    </row>
    <row r="6" spans="1:12" ht="24.95" customHeight="1" x14ac:dyDescent="0.15">
      <c r="A6" s="63">
        <v>2</v>
      </c>
      <c r="B6" s="108" t="s">
        <v>250</v>
      </c>
      <c r="C6" s="108" t="s">
        <v>581</v>
      </c>
      <c r="D6" s="103">
        <v>50</v>
      </c>
      <c r="E6" s="186"/>
      <c r="F6" s="103">
        <f ca="1">IF('SVS GrundRG'!$H$61="",0,'SVS GrundRG'!$H$61)</f>
        <v>0</v>
      </c>
      <c r="G6" s="103">
        <f>IF(E6="",0,ROUND($D$5/$E$5*$F$5,2))</f>
        <v>0</v>
      </c>
      <c r="H6" s="16" t="str">
        <f>IF(D6=0,"",IF(E6="","Leistungswert eintragen",IF(F6=0,"SVS prüfen","")))</f>
        <v>Leistungswert eintragen</v>
      </c>
    </row>
    <row r="7" spans="1:12" x14ac:dyDescent="0.15">
      <c r="A7" s="16"/>
      <c r="B7" s="16"/>
      <c r="C7" s="16"/>
      <c r="D7" s="16"/>
      <c r="E7" s="16"/>
      <c r="F7" s="16"/>
      <c r="G7" s="16"/>
      <c r="H7" s="16"/>
    </row>
    <row r="8" spans="1:12" x14ac:dyDescent="0.15">
      <c r="A8" s="16"/>
      <c r="B8" s="16"/>
      <c r="C8" s="16"/>
      <c r="D8" s="16"/>
      <c r="E8" s="16"/>
      <c r="F8" s="16"/>
      <c r="G8" s="16"/>
      <c r="H8" s="16"/>
    </row>
    <row r="9" spans="1:12" x14ac:dyDescent="0.15">
      <c r="A9" s="16"/>
      <c r="B9" s="16"/>
      <c r="C9" s="16"/>
      <c r="D9" s="16"/>
      <c r="E9" s="16"/>
      <c r="F9" s="16"/>
      <c r="G9" s="16"/>
      <c r="H9" s="16"/>
    </row>
    <row r="10" spans="1:12" x14ac:dyDescent="0.15">
      <c r="A10" s="16"/>
      <c r="B10" s="16"/>
      <c r="C10" s="16"/>
      <c r="D10" s="16"/>
      <c r="E10" s="16"/>
      <c r="F10" s="16"/>
      <c r="G10" s="16"/>
      <c r="H10" s="16"/>
    </row>
    <row r="11" spans="1:12" x14ac:dyDescent="0.15">
      <c r="A11" s="16"/>
      <c r="B11" s="16"/>
      <c r="C11" s="16"/>
      <c r="D11" s="16"/>
      <c r="E11" s="16"/>
      <c r="F11" s="16"/>
      <c r="G11" s="16"/>
      <c r="H11" s="16"/>
    </row>
    <row r="12" spans="1:12" x14ac:dyDescent="0.15">
      <c r="A12" s="16"/>
      <c r="B12" s="16"/>
      <c r="C12" s="16"/>
      <c r="D12" s="16"/>
      <c r="E12" s="16"/>
      <c r="F12" s="16"/>
      <c r="G12" s="16"/>
      <c r="H12" s="16"/>
    </row>
    <row r="13" spans="1:12" x14ac:dyDescent="0.15">
      <c r="A13" s="16"/>
      <c r="B13" s="16"/>
      <c r="C13" s="16"/>
      <c r="D13" s="16"/>
      <c r="E13" s="16"/>
      <c r="F13" s="16"/>
      <c r="G13" s="16"/>
      <c r="H13" s="16"/>
    </row>
    <row r="14" spans="1:12" x14ac:dyDescent="0.15">
      <c r="A14" s="16"/>
      <c r="B14" s="16"/>
      <c r="C14" s="16"/>
      <c r="D14" s="16"/>
      <c r="E14" s="16"/>
      <c r="F14" s="16"/>
      <c r="G14" s="16"/>
      <c r="H14" s="16"/>
    </row>
    <row r="15" spans="1:12" x14ac:dyDescent="0.15">
      <c r="A15" s="16"/>
      <c r="B15" s="16"/>
      <c r="C15" s="16"/>
      <c r="D15" s="16"/>
      <c r="E15" s="16"/>
      <c r="F15" s="16"/>
      <c r="G15" s="16"/>
      <c r="H15" s="16"/>
    </row>
    <row r="16" spans="1:12" x14ac:dyDescent="0.15">
      <c r="A16" s="16"/>
      <c r="B16" s="16"/>
      <c r="C16" s="16"/>
      <c r="D16" s="16"/>
      <c r="E16" s="16"/>
      <c r="F16" s="16"/>
      <c r="G16" s="16"/>
      <c r="H16" s="16"/>
    </row>
    <row r="17" spans="1:8" x14ac:dyDescent="0.15">
      <c r="A17" s="16"/>
      <c r="B17" s="16"/>
      <c r="C17" s="16"/>
      <c r="D17" s="16"/>
      <c r="E17" s="16"/>
      <c r="F17" s="16"/>
      <c r="G17" s="16"/>
      <c r="H17" s="16"/>
    </row>
    <row r="18" spans="1:8" x14ac:dyDescent="0.15">
      <c r="A18" s="16"/>
      <c r="B18" s="16"/>
      <c r="C18" s="16"/>
      <c r="D18" s="16"/>
      <c r="E18" s="16"/>
      <c r="F18" s="16"/>
      <c r="G18" s="16"/>
      <c r="H18" s="16"/>
    </row>
    <row r="19" spans="1:8" x14ac:dyDescent="0.15">
      <c r="A19" s="16"/>
      <c r="B19" s="16"/>
      <c r="C19" s="16"/>
      <c r="D19" s="16"/>
      <c r="E19" s="16"/>
      <c r="F19" s="16"/>
      <c r="G19" s="16"/>
      <c r="H19" s="16"/>
    </row>
    <row r="20" spans="1:8" x14ac:dyDescent="0.15">
      <c r="A20" s="16"/>
      <c r="B20" s="16"/>
      <c r="C20" s="16"/>
      <c r="D20" s="16"/>
      <c r="E20" s="16"/>
      <c r="F20" s="16"/>
      <c r="G20" s="16"/>
      <c r="H20" s="16"/>
    </row>
    <row r="21" spans="1:8" x14ac:dyDescent="0.15">
      <c r="A21" s="16"/>
      <c r="B21" s="16"/>
      <c r="C21" s="16"/>
      <c r="D21" s="16"/>
      <c r="E21" s="16"/>
      <c r="F21" s="16"/>
      <c r="G21" s="16"/>
      <c r="H21" s="16"/>
    </row>
    <row r="22" spans="1:8" x14ac:dyDescent="0.15">
      <c r="A22" s="16"/>
      <c r="B22" s="16"/>
      <c r="C22" s="16"/>
      <c r="D22" s="16"/>
      <c r="E22" s="16"/>
      <c r="F22" s="16"/>
      <c r="G22" s="16"/>
      <c r="H22" s="16"/>
    </row>
    <row r="23" spans="1:8" x14ac:dyDescent="0.15">
      <c r="A23" s="16"/>
      <c r="B23" s="16"/>
      <c r="C23" s="16"/>
      <c r="D23" s="16"/>
      <c r="E23" s="16"/>
      <c r="F23" s="16"/>
      <c r="G23" s="16"/>
      <c r="H23" s="16"/>
    </row>
    <row r="24" spans="1:8" x14ac:dyDescent="0.15">
      <c r="A24" s="16"/>
      <c r="B24" s="16"/>
      <c r="C24" s="16"/>
      <c r="D24" s="16"/>
      <c r="E24" s="16"/>
      <c r="F24" s="16"/>
      <c r="G24" s="16"/>
      <c r="H24" s="16"/>
    </row>
    <row r="25" spans="1:8" x14ac:dyDescent="0.15">
      <c r="A25" s="16"/>
      <c r="B25" s="16"/>
      <c r="C25" s="16"/>
      <c r="D25" s="16"/>
      <c r="E25" s="16"/>
      <c r="F25" s="16"/>
      <c r="G25" s="16"/>
      <c r="H25" s="16"/>
    </row>
    <row r="26" spans="1:8" x14ac:dyDescent="0.15">
      <c r="A26" s="16"/>
      <c r="B26" s="16"/>
      <c r="C26" s="16"/>
      <c r="D26" s="16"/>
      <c r="E26" s="16"/>
      <c r="F26" s="16"/>
      <c r="G26" s="16"/>
      <c r="H26" s="16"/>
    </row>
    <row r="27" spans="1:8" x14ac:dyDescent="0.15">
      <c r="A27" s="16"/>
      <c r="B27" s="16"/>
      <c r="C27" s="16"/>
      <c r="D27" s="16"/>
      <c r="E27" s="16"/>
      <c r="F27" s="16"/>
      <c r="G27" s="16"/>
      <c r="H27" s="16"/>
    </row>
    <row r="28" spans="1:8" x14ac:dyDescent="0.15">
      <c r="A28" s="16"/>
      <c r="B28" s="16"/>
      <c r="C28" s="16"/>
      <c r="D28" s="16"/>
      <c r="E28" s="16"/>
      <c r="F28" s="16"/>
      <c r="G28" s="16"/>
      <c r="H28" s="16"/>
    </row>
    <row r="29" spans="1:8" x14ac:dyDescent="0.15">
      <c r="A29" s="16"/>
      <c r="B29" s="16"/>
      <c r="C29" s="16"/>
      <c r="D29" s="16"/>
      <c r="E29" s="16"/>
      <c r="F29" s="16"/>
      <c r="G29" s="16"/>
      <c r="H29" s="16"/>
    </row>
    <row r="30" spans="1:8" x14ac:dyDescent="0.15">
      <c r="A30" s="16"/>
      <c r="B30" s="16"/>
      <c r="C30" s="16"/>
      <c r="D30" s="16"/>
      <c r="E30" s="16"/>
      <c r="F30" s="16"/>
      <c r="G30" s="16"/>
      <c r="H30" s="16"/>
    </row>
    <row r="31" spans="1:8" x14ac:dyDescent="0.15">
      <c r="A31" s="16"/>
      <c r="B31" s="16"/>
      <c r="C31" s="16"/>
      <c r="D31" s="16"/>
      <c r="E31" s="16"/>
      <c r="F31" s="16"/>
      <c r="G31" s="16"/>
      <c r="H31" s="16"/>
    </row>
    <row r="32" spans="1:8" x14ac:dyDescent="0.15">
      <c r="A32" s="16"/>
      <c r="B32" s="16"/>
      <c r="C32" s="16"/>
      <c r="D32" s="16"/>
      <c r="E32" s="16"/>
      <c r="F32" s="16"/>
      <c r="G32" s="16"/>
      <c r="H32" s="16"/>
    </row>
    <row r="33" spans="1:8" x14ac:dyDescent="0.15">
      <c r="A33" s="16"/>
      <c r="B33" s="16"/>
      <c r="C33" s="16"/>
      <c r="D33" s="16"/>
      <c r="E33" s="16"/>
      <c r="F33" s="16"/>
      <c r="G33" s="16"/>
      <c r="H33" s="16"/>
    </row>
    <row r="34" spans="1:8" x14ac:dyDescent="0.15">
      <c r="A34" s="16"/>
      <c r="B34" s="16"/>
      <c r="C34" s="16"/>
      <c r="D34" s="16"/>
      <c r="E34" s="16"/>
      <c r="F34" s="16"/>
      <c r="G34" s="16"/>
      <c r="H34" s="16"/>
    </row>
    <row r="35" spans="1:8" x14ac:dyDescent="0.15">
      <c r="A35" s="16"/>
      <c r="B35" s="16"/>
      <c r="C35" s="16"/>
      <c r="D35" s="16"/>
      <c r="E35" s="16"/>
      <c r="F35" s="16"/>
      <c r="G35" s="16"/>
      <c r="H35" s="16"/>
    </row>
    <row r="36" spans="1:8" x14ac:dyDescent="0.15">
      <c r="A36" s="16"/>
      <c r="B36" s="16"/>
      <c r="C36" s="16"/>
      <c r="D36" s="16"/>
      <c r="E36" s="16"/>
      <c r="F36" s="16"/>
      <c r="G36" s="16"/>
      <c r="H36" s="16"/>
    </row>
    <row r="37" spans="1:8" x14ac:dyDescent="0.15">
      <c r="A37" s="16"/>
      <c r="B37" s="16"/>
      <c r="C37" s="16"/>
      <c r="D37" s="16"/>
      <c r="E37" s="16"/>
      <c r="F37" s="16"/>
      <c r="G37" s="16"/>
      <c r="H37" s="16"/>
    </row>
    <row r="38" spans="1:8" x14ac:dyDescent="0.15">
      <c r="A38" s="16"/>
      <c r="B38" s="16"/>
      <c r="C38" s="16"/>
      <c r="D38" s="16"/>
      <c r="E38" s="16"/>
      <c r="F38" s="16"/>
      <c r="G38" s="16"/>
      <c r="H38" s="16"/>
    </row>
  </sheetData>
  <sheetProtection algorithmName="SHA-512" hashValue="GbIVd00HpXlaBFzFtGuxSZq0JBn9BFPfE9DmIE0E8Gpx42dfgh5Rl9wQ0DTY/QkVG0KeBqRE+v5tZl1SdPcqPw==" saltValue="zs4JqqlCcJmC7AoVWpytLg==" spinCount="100000" sheet="1" objects="1" scenarios="1"/>
  <mergeCells count="1">
    <mergeCell ref="E2:G2"/>
  </mergeCells>
  <conditionalFormatting sqref="H5:H6">
    <cfRule type="containsText" dxfId="99" priority="1" stopIfTrue="1" operator="containsText" text="SVS prüfen">
      <formula>NOT(ISERROR(SEARCH("SVS prüfen",H5)))</formula>
    </cfRule>
    <cfRule type="containsText" dxfId="98" priority="2" stopIfTrue="1" operator="containsText" text="Leistungswert eintragen">
      <formula>NOT(ISERROR(SEARCH("Leistungswert eintragen",H5)))</formula>
    </cfRule>
    <cfRule type="containsText" dxfId="97" priority="3" stopIfTrue="1" operator="containsText" text="SVS prüfen">
      <formula>NOT(ISERROR(SEARCH("SVS prüfen",H5)))</formula>
    </cfRule>
    <cfRule type="containsText" dxfId="96" priority="4" stopIfTrue="1" operator="containsText" text="Leistungswert eintragen">
      <formula>NOT(ISERROR(SEARCH("Leistungswert eintragen",H5)))</formula>
    </cfRule>
  </conditionalFormatting>
  <hyperlinks>
    <hyperlink ref="E1" location="Inhaltsverzeichnis!A1" display="Zurück zum Inhaltsverzeichnis" xr:uid="{D3CCBF75-BB39-49D2-A520-34F8894416F2}"/>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&amp;RKal Pflegefilm Bed&amp;LStadt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3</xdr:col>
                    <xdr:colOff>19050</xdr:colOff>
                    <xdr:row>1</xdr:row>
                    <xdr:rowOff>0</xdr:rowOff>
                  </from>
                  <to>
                    <xdr:col>3</xdr:col>
                    <xdr:colOff>742950</xdr:colOff>
                    <xdr:row>1</xdr:row>
                    <xdr:rowOff>266700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492A4-3C77-4D2B-94DD-30A3D45F7569}">
  <sheetPr codeName="Tabelle16">
    <tabColor rgb="FF800000"/>
    <pageSetUpPr fitToPage="1"/>
  </sheetPr>
  <dimension ref="A1:L37"/>
  <sheetViews>
    <sheetView showGridLines="0" zoomScaleNormal="100" workbookViewId="0"/>
  </sheetViews>
  <sheetFormatPr baseColWidth="10" defaultColWidth="0" defaultRowHeight="10.5" x14ac:dyDescent="0.15"/>
  <cols>
    <col min="1" max="1" width="7.7109375" style="17" customWidth="1"/>
    <col min="2" max="2" width="23.7109375" style="17" customWidth="1"/>
    <col min="3" max="3" width="23.42578125" style="17" customWidth="1"/>
    <col min="4" max="4" width="12.28515625" style="17" customWidth="1"/>
    <col min="5" max="5" width="10.7109375" style="17" customWidth="1"/>
    <col min="6" max="6" width="12.7109375" style="17" customWidth="1"/>
    <col min="7" max="7" width="15.140625" style="17" customWidth="1"/>
    <col min="8" max="9" width="12.7109375" style="17" customWidth="1"/>
    <col min="10" max="10" width="8.7109375" style="17" customWidth="1"/>
    <col min="11" max="11" width="12.7109375" style="17" customWidth="1"/>
    <col min="12" max="12" width="22.28515625" style="17" customWidth="1"/>
    <col min="13" max="16384" width="0" style="17" hidden="1"/>
  </cols>
  <sheetData>
    <row r="1" spans="1:12" ht="36" customHeight="1" x14ac:dyDescent="0.15">
      <c r="A1" s="16" t="s">
        <v>206</v>
      </c>
      <c r="B1" s="16"/>
      <c r="G1" s="26" t="s">
        <v>100</v>
      </c>
    </row>
    <row r="2" spans="1:12" ht="26.1" customHeight="1" x14ac:dyDescent="0.15">
      <c r="A2" s="16" t="s">
        <v>105</v>
      </c>
      <c r="B2" s="18" t="str">
        <f>IF(Inhaltsverzeichnis!$C$3="", "",Inhaltsverzeichnis!$C$3)</f>
        <v/>
      </c>
      <c r="D2" s="45" t="b">
        <v>0</v>
      </c>
      <c r="E2" s="241" t="str">
        <f>IF(D2=TRUE,"Bitte tragen Sie Ihre Leistungswerte in die gelben Zellen direkt unter der Zelle Leistung (lfm/h) ein. " &amp; "
Die Steigerkosten sind pro Objekt in der Spalte SteigerKosten (€) einzutragen. Wenn keine Kosten dafür anfallen, bitte eine 0 eintragen.",IF(D3=TRUE,
"Die rot markierten Informationen sind nur zur Unterstützung. Sie zeigen an, wenn gelbe Zellen in dieser Tabelle oder in dem Stundenverrechnungssatz (SVS) nicht ausgefüllt sind. " &amp;
"Wenn keine rote Schrift mehr angezeigt wird, ist alles ausgefüllt.",""))</f>
        <v/>
      </c>
      <c r="F2" s="241"/>
      <c r="G2" s="241"/>
      <c r="H2" s="241"/>
      <c r="I2" s="241"/>
      <c r="J2" s="241"/>
    </row>
    <row r="3" spans="1:12" ht="26.1" customHeight="1" x14ac:dyDescent="0.15">
      <c r="D3" s="29" t="b">
        <v>0</v>
      </c>
      <c r="E3" s="242"/>
      <c r="F3" s="242"/>
      <c r="G3" s="242"/>
      <c r="H3" s="242"/>
      <c r="I3" s="242"/>
      <c r="J3" s="242"/>
      <c r="L3" s="46">
        <f>IF(COUNTA(L5:L9)-COUNTBLANK(L5:L9)=0,"",COUNTA(L5:L9)-COUNTBLANK(L5:L9))</f>
        <v>5</v>
      </c>
    </row>
    <row r="4" spans="1:12" ht="48.75" customHeight="1" x14ac:dyDescent="0.15">
      <c r="A4" s="42" t="s">
        <v>92</v>
      </c>
      <c r="B4" s="42" t="s">
        <v>115</v>
      </c>
      <c r="C4" s="41" t="s">
        <v>222</v>
      </c>
      <c r="D4" s="41" t="s">
        <v>234</v>
      </c>
      <c r="E4" s="41" t="s">
        <v>172</v>
      </c>
      <c r="F4" s="41" t="s">
        <v>207</v>
      </c>
      <c r="G4" s="41" t="s">
        <v>208</v>
      </c>
      <c r="H4" s="41" t="s">
        <v>209</v>
      </c>
      <c r="I4" s="41" t="s">
        <v>210</v>
      </c>
      <c r="J4" s="41" t="s">
        <v>211</v>
      </c>
      <c r="K4" s="41" t="s">
        <v>212</v>
      </c>
    </row>
    <row r="5" spans="1:12" ht="15" customHeight="1" x14ac:dyDescent="0.15">
      <c r="A5" s="109">
        <v>1</v>
      </c>
      <c r="B5" s="105" t="s">
        <v>244</v>
      </c>
      <c r="C5" s="105" t="s">
        <v>577</v>
      </c>
      <c r="D5" s="106">
        <v>30</v>
      </c>
      <c r="E5" s="106" t="s">
        <v>171</v>
      </c>
      <c r="F5" s="107">
        <f>VLOOKUP(E5,Reinigungstage!A10:Y31,25,FALSE)</f>
        <v>1</v>
      </c>
      <c r="G5" s="107">
        <f>IF(F5="",0,ROUND(D5*F5,2))</f>
        <v>30</v>
      </c>
      <c r="H5" s="185"/>
      <c r="I5" s="185"/>
      <c r="J5" s="107">
        <f ca="1">IF('SVS GrundRG'!$H$61="",0,'SVS GrundRG'!$H$61)</f>
        <v>0</v>
      </c>
      <c r="K5" s="107">
        <f>IF(G5=0,0,IF(H5="",0,IF(I5=0,0,ROUND(G5/I5*J5+H5*F5,2))))</f>
        <v>0</v>
      </c>
      <c r="L5" s="16" t="str">
        <f>IF(G5=0,"",IF(H5="","Steigerkosten eintragen",IF(I5=0,"Leistungswert eintragen",IF(J5=0,"SVS prüfen",""))))</f>
        <v>Steigerkosten eintragen</v>
      </c>
    </row>
    <row r="6" spans="1:12" ht="15" customHeight="1" x14ac:dyDescent="0.15">
      <c r="A6" s="109">
        <v>2</v>
      </c>
      <c r="B6" s="105" t="s">
        <v>244</v>
      </c>
      <c r="C6" s="105" t="s">
        <v>578</v>
      </c>
      <c r="D6" s="106">
        <v>5.5</v>
      </c>
      <c r="E6" s="106" t="s">
        <v>171</v>
      </c>
      <c r="F6" s="107">
        <f>VLOOKUP(E6,Reinigungstage!A10:Y31,25,FALSE)</f>
        <v>1</v>
      </c>
      <c r="G6" s="107">
        <f t="shared" ref="G6:G9" si="0">IF(F6="",0,ROUND(D6*F6,2))</f>
        <v>5.5</v>
      </c>
      <c r="H6" s="185"/>
      <c r="I6" s="185"/>
      <c r="J6" s="107">
        <f ca="1">IF('SVS GrundRG'!$H$61="",0,'SVS GrundRG'!$H$61)</f>
        <v>0</v>
      </c>
      <c r="K6" s="107">
        <f t="shared" ref="K6:K9" si="1">IF(G6=0,0,IF(H6="",0,IF(I6=0,0,ROUND(G6/I6*J6+H6*F6,2))))</f>
        <v>0</v>
      </c>
      <c r="L6" s="16" t="str">
        <f t="shared" ref="L6:L9" si="2">IF(G6=0,"",IF(H6="","Steigerkosten eintragen",IF(I6=0,"Leistungswert eintragen",IF(J6=0,"SVS prüfen",""))))</f>
        <v>Steigerkosten eintragen</v>
      </c>
    </row>
    <row r="7" spans="1:12" ht="15" customHeight="1" x14ac:dyDescent="0.15">
      <c r="A7" s="109">
        <v>3</v>
      </c>
      <c r="B7" s="105" t="s">
        <v>250</v>
      </c>
      <c r="C7" s="105" t="s">
        <v>577</v>
      </c>
      <c r="D7" s="106">
        <v>26</v>
      </c>
      <c r="E7" s="106" t="s">
        <v>171</v>
      </c>
      <c r="F7" s="107">
        <f>VLOOKUP(E7,Reinigungstage!A10:Y31,25,FALSE)</f>
        <v>1</v>
      </c>
      <c r="G7" s="107">
        <f t="shared" si="0"/>
        <v>26</v>
      </c>
      <c r="H7" s="185"/>
      <c r="I7" s="185"/>
      <c r="J7" s="107">
        <f ca="1">IF('SVS GrundRG'!$H$61="",0,'SVS GrundRG'!$H$61)</f>
        <v>0</v>
      </c>
      <c r="K7" s="107">
        <f t="shared" si="1"/>
        <v>0</v>
      </c>
      <c r="L7" s="16" t="str">
        <f t="shared" si="2"/>
        <v>Steigerkosten eintragen</v>
      </c>
    </row>
    <row r="8" spans="1:12" ht="15" customHeight="1" x14ac:dyDescent="0.15">
      <c r="A8" s="109">
        <v>4</v>
      </c>
      <c r="B8" s="105" t="s">
        <v>252</v>
      </c>
      <c r="C8" s="105" t="s">
        <v>577</v>
      </c>
      <c r="D8" s="106">
        <v>6</v>
      </c>
      <c r="E8" s="106" t="s">
        <v>171</v>
      </c>
      <c r="F8" s="107">
        <f>VLOOKUP(E8,Reinigungstage!A10:Y31,25,FALSE)</f>
        <v>1</v>
      </c>
      <c r="G8" s="107">
        <f>IF(F8="",0,ROUND(D8*F8,2))</f>
        <v>6</v>
      </c>
      <c r="H8" s="185"/>
      <c r="I8" s="185"/>
      <c r="J8" s="107">
        <f ca="1">IF('SVS GrundRG'!$H$61="",0,'SVS GrundRG'!$H$61)</f>
        <v>0</v>
      </c>
      <c r="K8" s="107">
        <f t="shared" si="1"/>
        <v>0</v>
      </c>
      <c r="L8" s="16" t="str">
        <f t="shared" si="2"/>
        <v>Steigerkosten eintragen</v>
      </c>
    </row>
    <row r="9" spans="1:12" ht="15" customHeight="1" x14ac:dyDescent="0.15">
      <c r="A9" s="109">
        <v>5</v>
      </c>
      <c r="B9" s="105" t="s">
        <v>261</v>
      </c>
      <c r="C9" s="105" t="s">
        <v>579</v>
      </c>
      <c r="D9" s="106">
        <v>86</v>
      </c>
      <c r="E9" s="106" t="s">
        <v>171</v>
      </c>
      <c r="F9" s="107">
        <f>VLOOKUP(E9,Reinigungstage!A10:Y31,25,FALSE)</f>
        <v>1</v>
      </c>
      <c r="G9" s="107">
        <f t="shared" si="0"/>
        <v>86</v>
      </c>
      <c r="H9" s="185"/>
      <c r="I9" s="185"/>
      <c r="J9" s="107">
        <f ca="1">IF('SVS GrundRG'!$H$61="",0,'SVS GrundRG'!$H$61)</f>
        <v>0</v>
      </c>
      <c r="K9" s="107">
        <f t="shared" si="1"/>
        <v>0</v>
      </c>
      <c r="L9" s="16" t="str">
        <f t="shared" si="2"/>
        <v>Steigerkosten eintragen</v>
      </c>
    </row>
    <row r="10" spans="1:12" x14ac:dyDescent="0.15">
      <c r="A10" s="16"/>
      <c r="B10" s="16"/>
      <c r="C10" s="16"/>
      <c r="D10" s="16"/>
      <c r="E10" s="16"/>
      <c r="F10" s="16"/>
      <c r="G10" s="16"/>
      <c r="H10" s="16"/>
      <c r="I10" s="16"/>
      <c r="J10" s="16"/>
      <c r="K10" s="16"/>
    </row>
    <row r="11" spans="1:12" ht="18" customHeight="1" x14ac:dyDescent="0.15">
      <c r="A11" s="16"/>
      <c r="B11" s="241" t="s">
        <v>618</v>
      </c>
      <c r="C11" s="192"/>
      <c r="D11" s="192"/>
      <c r="E11" s="192"/>
      <c r="F11" s="192"/>
      <c r="G11" s="192"/>
      <c r="H11" s="192"/>
      <c r="I11" s="192"/>
      <c r="J11" s="16"/>
      <c r="K11" s="16"/>
    </row>
    <row r="12" spans="1:12" ht="18" customHeight="1" x14ac:dyDescent="0.15">
      <c r="A12" s="16"/>
      <c r="B12" s="241" t="s">
        <v>619</v>
      </c>
      <c r="C12" s="192"/>
      <c r="D12" s="192"/>
      <c r="E12" s="192"/>
      <c r="F12" s="192"/>
      <c r="G12" s="192"/>
      <c r="H12" s="192"/>
      <c r="I12" s="192"/>
      <c r="J12" s="16"/>
      <c r="K12" s="16"/>
    </row>
    <row r="13" spans="1:12" ht="18" customHeight="1" x14ac:dyDescent="0.15">
      <c r="A13" s="16"/>
      <c r="B13" s="241" t="s">
        <v>620</v>
      </c>
      <c r="C13" s="192"/>
      <c r="D13" s="192"/>
      <c r="E13" s="192"/>
      <c r="F13" s="192"/>
      <c r="G13" s="192"/>
      <c r="H13" s="192"/>
      <c r="I13" s="192"/>
      <c r="J13" s="16"/>
      <c r="K13" s="16"/>
    </row>
    <row r="14" spans="1:12" x14ac:dyDescent="0.15">
      <c r="A14" s="16"/>
      <c r="B14" s="16"/>
      <c r="C14" s="16"/>
      <c r="D14" s="16"/>
      <c r="E14" s="16"/>
      <c r="F14" s="16"/>
      <c r="G14" s="16"/>
      <c r="H14" s="16"/>
      <c r="I14" s="16"/>
      <c r="J14" s="16"/>
      <c r="K14" s="16"/>
    </row>
    <row r="15" spans="1:12" x14ac:dyDescent="0.15">
      <c r="A15" s="16"/>
      <c r="B15" s="16"/>
      <c r="C15" s="16"/>
      <c r="D15" s="16"/>
      <c r="E15" s="16"/>
      <c r="F15" s="16"/>
      <c r="G15" s="16"/>
      <c r="H15" s="16"/>
      <c r="I15" s="16"/>
      <c r="J15" s="16"/>
      <c r="K15" s="16"/>
    </row>
    <row r="16" spans="1:12" x14ac:dyDescent="0.15">
      <c r="A16" s="16"/>
      <c r="B16" s="16"/>
      <c r="C16" s="16"/>
      <c r="D16" s="16"/>
      <c r="E16" s="16"/>
      <c r="F16" s="16"/>
      <c r="G16" s="16"/>
      <c r="H16" s="16"/>
      <c r="I16" s="16"/>
      <c r="J16" s="16"/>
      <c r="K16" s="16"/>
    </row>
    <row r="17" spans="1:11" x14ac:dyDescent="0.15">
      <c r="A17" s="16"/>
      <c r="B17" s="16"/>
      <c r="C17" s="16"/>
      <c r="D17" s="16"/>
      <c r="E17" s="16"/>
      <c r="F17" s="16"/>
      <c r="G17" s="16"/>
      <c r="H17" s="16"/>
      <c r="I17" s="16"/>
      <c r="J17" s="16"/>
      <c r="K17" s="16"/>
    </row>
    <row r="18" spans="1:11" x14ac:dyDescent="0.15">
      <c r="A18" s="16"/>
      <c r="B18" s="16"/>
      <c r="C18" s="16"/>
      <c r="D18" s="16"/>
      <c r="E18" s="16"/>
      <c r="F18" s="16"/>
      <c r="G18" s="16"/>
      <c r="H18" s="16"/>
      <c r="I18" s="16"/>
      <c r="J18" s="16"/>
      <c r="K18" s="16"/>
    </row>
    <row r="19" spans="1:11" x14ac:dyDescent="0.15">
      <c r="A19" s="16"/>
      <c r="B19" s="16"/>
      <c r="C19" s="16"/>
      <c r="D19" s="16"/>
      <c r="E19" s="16"/>
      <c r="F19" s="16"/>
      <c r="G19" s="16"/>
      <c r="H19" s="16"/>
      <c r="I19" s="16"/>
      <c r="J19" s="16"/>
      <c r="K19" s="16"/>
    </row>
    <row r="20" spans="1:11" x14ac:dyDescent="0.15">
      <c r="A20" s="16"/>
      <c r="B20" s="16"/>
      <c r="C20" s="16"/>
      <c r="D20" s="16"/>
      <c r="E20" s="16"/>
      <c r="F20" s="16"/>
      <c r="G20" s="16"/>
      <c r="H20" s="16"/>
      <c r="I20" s="16"/>
      <c r="J20" s="16"/>
      <c r="K20" s="16"/>
    </row>
    <row r="21" spans="1:11" x14ac:dyDescent="0.15">
      <c r="A21" s="16"/>
      <c r="B21" s="16"/>
      <c r="C21" s="16"/>
      <c r="D21" s="16"/>
      <c r="E21" s="16"/>
      <c r="F21" s="16"/>
      <c r="G21" s="16"/>
      <c r="H21" s="16"/>
      <c r="I21" s="16"/>
      <c r="J21" s="16"/>
      <c r="K21" s="16"/>
    </row>
    <row r="22" spans="1:11" x14ac:dyDescent="0.15">
      <c r="A22" s="16"/>
      <c r="B22" s="16"/>
      <c r="C22" s="16"/>
      <c r="D22" s="16"/>
      <c r="E22" s="16"/>
      <c r="F22" s="16"/>
      <c r="G22" s="16"/>
      <c r="H22" s="16"/>
      <c r="I22" s="16"/>
      <c r="J22" s="16"/>
      <c r="K22" s="16"/>
    </row>
    <row r="23" spans="1:11" x14ac:dyDescent="0.15">
      <c r="A23" s="16"/>
      <c r="B23" s="16"/>
      <c r="C23" s="16"/>
      <c r="D23" s="16"/>
      <c r="E23" s="16"/>
      <c r="F23" s="16"/>
      <c r="G23" s="16"/>
      <c r="H23" s="16"/>
      <c r="I23" s="16"/>
      <c r="J23" s="16"/>
      <c r="K23" s="16"/>
    </row>
    <row r="24" spans="1:11" x14ac:dyDescent="0.15">
      <c r="A24" s="16"/>
      <c r="B24" s="16"/>
      <c r="C24" s="16"/>
      <c r="D24" s="16"/>
      <c r="E24" s="16"/>
      <c r="F24" s="16"/>
      <c r="G24" s="16"/>
      <c r="H24" s="16"/>
      <c r="I24" s="16"/>
      <c r="J24" s="16"/>
      <c r="K24" s="16"/>
    </row>
    <row r="25" spans="1:11" x14ac:dyDescent="0.15">
      <c r="A25" s="16"/>
      <c r="B25" s="16"/>
      <c r="C25" s="16"/>
      <c r="D25" s="16"/>
      <c r="E25" s="16"/>
      <c r="F25" s="16"/>
      <c r="G25" s="16"/>
      <c r="H25" s="16"/>
      <c r="I25" s="16"/>
      <c r="J25" s="16"/>
      <c r="K25" s="16"/>
    </row>
    <row r="26" spans="1:11" x14ac:dyDescent="0.15">
      <c r="A26" s="16"/>
      <c r="B26" s="16"/>
      <c r="C26" s="16"/>
      <c r="D26" s="16"/>
      <c r="E26" s="16"/>
      <c r="F26" s="16"/>
      <c r="G26" s="16"/>
      <c r="H26" s="16"/>
      <c r="I26" s="16"/>
      <c r="J26" s="16"/>
      <c r="K26" s="16"/>
    </row>
    <row r="27" spans="1:11" x14ac:dyDescent="0.15">
      <c r="A27" s="16"/>
      <c r="B27" s="16"/>
      <c r="C27" s="16"/>
      <c r="D27" s="16"/>
      <c r="E27" s="16"/>
      <c r="F27" s="16"/>
      <c r="G27" s="16"/>
      <c r="H27" s="16"/>
      <c r="I27" s="16"/>
      <c r="J27" s="16"/>
      <c r="K27" s="16"/>
    </row>
    <row r="28" spans="1:11" x14ac:dyDescent="0.15">
      <c r="A28" s="16"/>
      <c r="B28" s="16"/>
      <c r="C28" s="16"/>
      <c r="D28" s="16"/>
      <c r="E28" s="16"/>
      <c r="F28" s="16"/>
      <c r="G28" s="16"/>
      <c r="H28" s="16"/>
      <c r="I28" s="16"/>
      <c r="J28" s="16"/>
      <c r="K28" s="16"/>
    </row>
    <row r="29" spans="1:11" x14ac:dyDescent="0.15">
      <c r="A29" s="16"/>
      <c r="B29" s="16"/>
      <c r="C29" s="16"/>
      <c r="D29" s="16"/>
      <c r="E29" s="16"/>
      <c r="F29" s="16"/>
      <c r="G29" s="16"/>
      <c r="H29" s="16"/>
      <c r="I29" s="16"/>
      <c r="J29" s="16"/>
      <c r="K29" s="16"/>
    </row>
    <row r="30" spans="1:11" x14ac:dyDescent="0.15">
      <c r="A30" s="16"/>
      <c r="B30" s="16"/>
      <c r="C30" s="16"/>
      <c r="D30" s="16"/>
      <c r="E30" s="16"/>
      <c r="F30" s="16"/>
      <c r="G30" s="16"/>
      <c r="H30" s="16"/>
      <c r="I30" s="16"/>
      <c r="J30" s="16"/>
      <c r="K30" s="16"/>
    </row>
    <row r="31" spans="1:11" x14ac:dyDescent="0.15">
      <c r="A31" s="16"/>
      <c r="B31" s="16"/>
      <c r="C31" s="16"/>
      <c r="D31" s="16"/>
      <c r="E31" s="16"/>
      <c r="F31" s="16"/>
      <c r="G31" s="16"/>
      <c r="H31" s="16"/>
      <c r="I31" s="16"/>
      <c r="J31" s="16"/>
      <c r="K31" s="16"/>
    </row>
    <row r="32" spans="1:11" x14ac:dyDescent="0.15">
      <c r="A32" s="16"/>
      <c r="B32" s="16"/>
      <c r="C32" s="16"/>
      <c r="D32" s="16"/>
      <c r="E32" s="16"/>
      <c r="F32" s="16"/>
      <c r="G32" s="16"/>
      <c r="H32" s="16"/>
      <c r="I32" s="16"/>
      <c r="J32" s="16"/>
      <c r="K32" s="16"/>
    </row>
    <row r="33" spans="1:11" x14ac:dyDescent="0.15">
      <c r="A33" s="16"/>
      <c r="B33" s="16"/>
      <c r="C33" s="16"/>
      <c r="D33" s="16"/>
      <c r="E33" s="16"/>
      <c r="F33" s="16"/>
      <c r="G33" s="16"/>
      <c r="H33" s="16"/>
      <c r="I33" s="16"/>
      <c r="J33" s="16"/>
      <c r="K33" s="16"/>
    </row>
    <row r="34" spans="1:11" x14ac:dyDescent="0.15">
      <c r="A34" s="16"/>
      <c r="B34" s="16"/>
      <c r="C34" s="16"/>
      <c r="D34" s="16"/>
      <c r="E34" s="16"/>
      <c r="F34" s="16"/>
      <c r="G34" s="16"/>
      <c r="H34" s="16"/>
      <c r="I34" s="16"/>
      <c r="J34" s="16"/>
      <c r="K34" s="16"/>
    </row>
    <row r="35" spans="1:11" x14ac:dyDescent="0.15">
      <c r="A35" s="16"/>
      <c r="B35" s="16"/>
      <c r="C35" s="16"/>
      <c r="D35" s="16"/>
      <c r="E35" s="16"/>
      <c r="F35" s="16"/>
      <c r="G35" s="16"/>
      <c r="H35" s="16"/>
      <c r="I35" s="16"/>
      <c r="J35" s="16"/>
      <c r="K35" s="16"/>
    </row>
    <row r="36" spans="1:11" x14ac:dyDescent="0.15">
      <c r="A36" s="16"/>
      <c r="B36" s="16"/>
      <c r="C36" s="16"/>
      <c r="D36" s="16"/>
      <c r="E36" s="16"/>
      <c r="F36" s="16"/>
      <c r="G36" s="16"/>
      <c r="H36" s="16"/>
      <c r="I36" s="16"/>
      <c r="J36" s="16"/>
      <c r="K36" s="16"/>
    </row>
    <row r="37" spans="1:11" x14ac:dyDescent="0.15">
      <c r="A37" s="16"/>
      <c r="B37" s="16"/>
      <c r="C37" s="16"/>
      <c r="D37" s="16"/>
      <c r="E37" s="16"/>
      <c r="F37" s="16"/>
      <c r="G37" s="16"/>
      <c r="H37" s="16"/>
      <c r="I37" s="16"/>
      <c r="J37" s="16"/>
      <c r="K37" s="16"/>
    </row>
  </sheetData>
  <sheetProtection algorithmName="SHA-512" hashValue="nGS9XO7tJNVJJqE/ypTN2kV2CaZ2cIetMq5AJiqbfL2QFhHaMwGz+7ZkRBCqujy9y4t3G0p3Fpzq6tKm3eX+SA==" saltValue="oHg6Gdm+lfRJFHkRABigOQ==" spinCount="100000" sheet="1" objects="1" scenarios="1"/>
  <mergeCells count="4">
    <mergeCell ref="E2:J3"/>
    <mergeCell ref="B11:I11"/>
    <mergeCell ref="B12:I12"/>
    <mergeCell ref="B13:I13"/>
  </mergeCells>
  <conditionalFormatting sqref="L5:L9">
    <cfRule type="containsText" dxfId="95" priority="1" stopIfTrue="1" operator="containsText" text="Steigerkosten eintragen">
      <formula>NOT(ISERROR(SEARCH("Steigerkosten eintragen",L5)))</formula>
    </cfRule>
    <cfRule type="containsText" dxfId="94" priority="2" stopIfTrue="1" operator="containsText" text="SVS prüfen">
      <formula>NOT(ISERROR(SEARCH("SVS prüfen",L5)))</formula>
    </cfRule>
    <cfRule type="containsText" dxfId="93" priority="3" stopIfTrue="1" operator="containsText" text="Leistungswert eintragen">
      <formula>NOT(ISERROR(SEARCH("Leistungswert eintragen",L5)))</formula>
    </cfRule>
    <cfRule type="containsText" dxfId="92" priority="4" stopIfTrue="1" operator="containsText" text="Steigerkosten eintragen">
      <formula>NOT(ISERROR(SEARCH("Steigerkosten eintragen",L5)))</formula>
    </cfRule>
    <cfRule type="containsText" dxfId="91" priority="5" stopIfTrue="1" operator="containsText" text="SVS prüfen">
      <formula>NOT(ISERROR(SEARCH("SVS prüfen",L5)))</formula>
    </cfRule>
    <cfRule type="containsText" dxfId="90" priority="6" stopIfTrue="1" operator="containsText" text="Leistungswert eintragen">
      <formula>NOT(ISERROR(SEARCH("Leistungswert eintragen",L5)))</formula>
    </cfRule>
    <cfRule type="containsText" dxfId="89" priority="7" stopIfTrue="1" operator="containsText" text="Steigerkosten eintragen">
      <formula>NOT(ISERROR(SEARCH("Steigerkosten eintragen",L5)))</formula>
    </cfRule>
    <cfRule type="containsText" dxfId="88" priority="8" stopIfTrue="1" operator="containsText" text="SVS prüfen">
      <formula>NOT(ISERROR(SEARCH("SVS prüfen",L5)))</formula>
    </cfRule>
    <cfRule type="containsText" dxfId="87" priority="9" stopIfTrue="1" operator="containsText" text="Leistungswert eintragen">
      <formula>NOT(ISERROR(SEARCH("Leistungswert eintragen",L5)))</formula>
    </cfRule>
    <cfRule type="containsText" dxfId="86" priority="10" stopIfTrue="1" operator="containsText" text="Steigerkosten eintragen">
      <formula>NOT(ISERROR(SEARCH("Steigerkosten eintragen",L5)))</formula>
    </cfRule>
    <cfRule type="containsText" dxfId="85" priority="11" stopIfTrue="1" operator="containsText" text="SVS prüfen">
      <formula>NOT(ISERROR(SEARCH("SVS prüfen",L5)))</formula>
    </cfRule>
    <cfRule type="containsText" dxfId="84" priority="12" stopIfTrue="1" operator="containsText" text="Leistungswert eintragen">
      <formula>NOT(ISERROR(SEARCH("Leistungswert eintragen",L5)))</formula>
    </cfRule>
  </conditionalFormatting>
  <hyperlinks>
    <hyperlink ref="G1" location="Inhaltsverzeichnis!A1" display="Zurück zum Inhaltsverzeichnis" xr:uid="{99D2B7D1-DFF8-4499-A22E-C87634E5C968}"/>
  </hyperlinks>
  <printOptions horizontalCentered="1"/>
  <pageMargins left="0.78740157480314965" right="0.78740157480314965" top="0.98425196850393704" bottom="0.98425196850393704" header="0.51181102362204722" footer="0.51181102362204722"/>
  <pageSetup paperSize="9" scale="86" orientation="landscape" r:id="rId1"/>
  <headerFooter alignWithMargins="0">
    <oddFooter>&amp;RKal Rohre u Balken Gesamt&amp;LStadt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3</xdr:col>
                    <xdr:colOff>38100</xdr:colOff>
                    <xdr:row>1</xdr:row>
                    <xdr:rowOff>114300</xdr:rowOff>
                  </from>
                  <to>
                    <xdr:col>3</xdr:col>
                    <xdr:colOff>800100</xdr:colOff>
                    <xdr:row>2</xdr:row>
                    <xdr:rowOff>19050</xdr:rowOff>
                  </to>
                </anchor>
              </controlPr>
            </control>
          </mc:Choice>
        </mc:AlternateContent>
        <mc:AlternateContent xmlns:mc="http://schemas.openxmlformats.org/markup-compatibility/2006">
          <mc:Choice Requires="x14">
            <control shapeId="49154" r:id="rId5" name="Check Box 2">
              <controlPr defaultSize="0" autoFill="0" autoLine="0" autoPict="0" altText="Hinweis 2">
                <anchor moveWithCells="1">
                  <from>
                    <xdr:col>3</xdr:col>
                    <xdr:colOff>38100</xdr:colOff>
                    <xdr:row>2</xdr:row>
                    <xdr:rowOff>47625</xdr:rowOff>
                  </from>
                  <to>
                    <xdr:col>3</xdr:col>
                    <xdr:colOff>800100</xdr:colOff>
                    <xdr:row>2</xdr:row>
                    <xdr:rowOff>276225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0BBC5-9D88-4CB8-A15E-D6C278C80C71}">
  <sheetPr codeName="Tabelle17">
    <tabColor rgb="FF800000"/>
  </sheetPr>
  <dimension ref="A1:R50"/>
  <sheetViews>
    <sheetView showGridLines="0" zoomScaleNormal="100" workbookViewId="0"/>
  </sheetViews>
  <sheetFormatPr baseColWidth="10" defaultColWidth="0" defaultRowHeight="10.5" x14ac:dyDescent="0.15"/>
  <cols>
    <col min="1" max="1" width="7.7109375" style="17" customWidth="1"/>
    <col min="2" max="2" width="23.140625" style="17" customWidth="1"/>
    <col min="3" max="3" width="25" style="17" bestFit="1" customWidth="1"/>
    <col min="4" max="4" width="11.28515625" style="17" customWidth="1"/>
    <col min="5" max="5" width="11.7109375" style="17" customWidth="1"/>
    <col min="6" max="6" width="10.5703125" style="17" customWidth="1"/>
    <col min="7" max="7" width="10.140625" style="17" customWidth="1"/>
    <col min="8" max="8" width="9.28515625" style="17" customWidth="1"/>
    <col min="9" max="9" width="15.5703125" style="17" customWidth="1"/>
    <col min="10" max="11" width="15.28515625" style="17" customWidth="1"/>
    <col min="12" max="14" width="12.7109375" style="17" customWidth="1"/>
    <col min="15" max="15" width="10.85546875" style="17" customWidth="1"/>
    <col min="16" max="16" width="8.7109375" style="17" customWidth="1"/>
    <col min="17" max="17" width="12.7109375" style="17" customWidth="1"/>
    <col min="18" max="18" width="22.28515625" style="17" customWidth="1"/>
    <col min="19" max="16384" width="0" style="17" hidden="1"/>
  </cols>
  <sheetData>
    <row r="1" spans="1:18" ht="36" customHeight="1" x14ac:dyDescent="0.15">
      <c r="A1" s="16" t="s">
        <v>221</v>
      </c>
      <c r="B1" s="16"/>
      <c r="G1" s="26" t="s">
        <v>100</v>
      </c>
    </row>
    <row r="2" spans="1:18" ht="26.1" customHeight="1" x14ac:dyDescent="0.15">
      <c r="A2" s="16" t="s">
        <v>105</v>
      </c>
      <c r="B2" s="18" t="str">
        <f>IF(Inhaltsverzeichnis!$C$3="", "",Inhaltsverzeichnis!$C$3)</f>
        <v/>
      </c>
      <c r="D2" s="45" t="b">
        <v>0</v>
      </c>
      <c r="E2" s="241" t="str">
        <f>IF(D2=TRUE,"Bitte tragen Sie Ihre Leistungswerte in die gelben Zellen direkt unter der Zelle Leistung (Stück/h) bei Anzahl und Leistung (lfm/h) bei Länge ein. " &amp; "
Die Steigerkosten sind pro Objekt in der Spalte SteigerKosten (€) einzutragen. Wenn keine Kosten dafür anfallen, bitte eine 0 eintragen.",IF(D3=TRUE,
"Die rot markierten Informationen sind nur zur Unterstützung. Sie zeigen an, wenn gelbe Zellen in dieser Tabelle oder in dem Stundenverrechnungssatz (SVS) nicht ausgefüllt sind. " &amp;
"Wenn keine rote Schrift mehr angezeigt wird, ist alles ausgefüllt.",""))</f>
        <v/>
      </c>
      <c r="F2" s="241"/>
      <c r="G2" s="241"/>
      <c r="H2" s="241"/>
      <c r="I2" s="241"/>
      <c r="J2" s="241"/>
    </row>
    <row r="3" spans="1:18" ht="26.1" customHeight="1" x14ac:dyDescent="0.15">
      <c r="D3" s="45" t="b">
        <v>0</v>
      </c>
      <c r="E3" s="242"/>
      <c r="F3" s="242"/>
      <c r="G3" s="242"/>
      <c r="H3" s="242"/>
      <c r="I3" s="242"/>
      <c r="J3" s="242"/>
      <c r="R3" s="46">
        <f>IF(COUNTA($R$5:$R$26)-COUNTBLANK($R$5:$R$26)=0,"",COUNTA($R$5:$R$26)-COUNTBLANK($R$5:$R$26))</f>
        <v>22</v>
      </c>
    </row>
    <row r="4" spans="1:18" ht="45.75" customHeight="1" x14ac:dyDescent="0.15">
      <c r="A4" s="40" t="s">
        <v>92</v>
      </c>
      <c r="B4" s="40" t="s">
        <v>115</v>
      </c>
      <c r="C4" s="38" t="s">
        <v>222</v>
      </c>
      <c r="D4" s="38" t="s">
        <v>172</v>
      </c>
      <c r="E4" s="38" t="s">
        <v>207</v>
      </c>
      <c r="F4" s="38" t="s">
        <v>223</v>
      </c>
      <c r="G4" s="38" t="s">
        <v>224</v>
      </c>
      <c r="H4" s="38" t="s">
        <v>216</v>
      </c>
      <c r="I4" s="38" t="s">
        <v>225</v>
      </c>
      <c r="J4" s="38" t="s">
        <v>208</v>
      </c>
      <c r="K4" s="38" t="s">
        <v>235</v>
      </c>
      <c r="L4" s="38" t="s">
        <v>209</v>
      </c>
      <c r="M4" s="38" t="s">
        <v>226</v>
      </c>
      <c r="N4" s="38" t="s">
        <v>210</v>
      </c>
      <c r="O4" s="38" t="s">
        <v>236</v>
      </c>
      <c r="P4" s="38" t="s">
        <v>211</v>
      </c>
      <c r="Q4" s="38" t="s">
        <v>212</v>
      </c>
    </row>
    <row r="5" spans="1:18" ht="24.95" customHeight="1" x14ac:dyDescent="0.15">
      <c r="A5" s="109">
        <v>1</v>
      </c>
      <c r="B5" s="105" t="s">
        <v>250</v>
      </c>
      <c r="C5" s="105" t="s">
        <v>582</v>
      </c>
      <c r="D5" s="106" t="s">
        <v>168</v>
      </c>
      <c r="E5" s="107">
        <f>VLOOKUP(D5,Reinigungstage!A10:AK31,37,FALSE)</f>
        <v>1</v>
      </c>
      <c r="F5" s="110">
        <v>5</v>
      </c>
      <c r="G5" s="111"/>
      <c r="H5" s="111"/>
      <c r="I5" s="107">
        <f>IF(F5="","",$E$5*$F$5)</f>
        <v>5</v>
      </c>
      <c r="J5" s="112" t="str">
        <f>IF(G5="","",$E$5*$G$5)</f>
        <v/>
      </c>
      <c r="K5" s="112" t="str">
        <f>IF(H5="","",$E$5*$H$5)</f>
        <v/>
      </c>
      <c r="L5" s="185"/>
      <c r="M5" s="185"/>
      <c r="N5" s="112"/>
      <c r="O5" s="112"/>
      <c r="P5" s="107">
        <f ca="1">IF('SVS GrundRG'!$H$61="",0,'SVS GrundRG'!$H$61)</f>
        <v>0</v>
      </c>
      <c r="Q5" s="187">
        <f>IF(I5=0,0,IF(L5="",0,IF(M5="",0,IF(P5=0,0,ROUND(I5/M5*P5+L5*E5,2)))))</f>
        <v>0</v>
      </c>
      <c r="R5" s="16" t="str">
        <f>IF(E5=0,"",IF(L5="","Steigerkosten eintragen",IF(M5="","Leistungswert eintragen",IF(P5=0,"SVS prüfen",""))))</f>
        <v>Steigerkosten eintragen</v>
      </c>
    </row>
    <row r="6" spans="1:18" ht="24.95" customHeight="1" x14ac:dyDescent="0.15">
      <c r="A6" s="109">
        <v>2</v>
      </c>
      <c r="B6" s="105" t="s">
        <v>250</v>
      </c>
      <c r="C6" s="105" t="s">
        <v>583</v>
      </c>
      <c r="D6" s="106" t="s">
        <v>168</v>
      </c>
      <c r="E6" s="107">
        <f>VLOOKUP(D6,Reinigungstage!A10:AK31,37,FALSE)</f>
        <v>1</v>
      </c>
      <c r="F6" s="110">
        <v>13</v>
      </c>
      <c r="G6" s="111"/>
      <c r="H6" s="111"/>
      <c r="I6" s="107">
        <f>IF(F6="","",$E$6*$F$6)</f>
        <v>13</v>
      </c>
      <c r="J6" s="112" t="str">
        <f>IF(G6="","",$E$6*$G$6)</f>
        <v/>
      </c>
      <c r="K6" s="112" t="str">
        <f>IF(H6="","",$E$6*$H$6)</f>
        <v/>
      </c>
      <c r="L6" s="185"/>
      <c r="M6" s="185"/>
      <c r="N6" s="112"/>
      <c r="O6" s="112"/>
      <c r="P6" s="107">
        <f ca="1">IF('SVS GrundRG'!$H$61="",0,'SVS GrundRG'!$H$61)</f>
        <v>0</v>
      </c>
      <c r="Q6" s="187">
        <f>IF(I6=0,0,IF(L6="",0,IF(M6="",0,IF(P6=0,0,ROUND(I6/M6*P6+L6*E6,2)))))</f>
        <v>0</v>
      </c>
      <c r="R6" s="16" t="str">
        <f>IF(E6=0,"",IF(L6="","Steigerkosten eintragen",IF(M6="","Leistungswert eintragen",IF(P6=0,"SVS prüfen",""))))</f>
        <v>Steigerkosten eintragen</v>
      </c>
    </row>
    <row r="7" spans="1:18" ht="24.95" customHeight="1" x14ac:dyDescent="0.15">
      <c r="A7" s="109">
        <v>3</v>
      </c>
      <c r="B7" s="105" t="s">
        <v>250</v>
      </c>
      <c r="C7" s="105" t="s">
        <v>584</v>
      </c>
      <c r="D7" s="106" t="s">
        <v>168</v>
      </c>
      <c r="E7" s="107">
        <f>VLOOKUP(D7,Reinigungstage!A10:AK31,37,FALSE)</f>
        <v>1</v>
      </c>
      <c r="F7" s="111"/>
      <c r="G7" s="110">
        <v>401.6</v>
      </c>
      <c r="H7" s="111"/>
      <c r="I7" s="112" t="str">
        <f>IF(F7="","",$E$7*$F$7)</f>
        <v/>
      </c>
      <c r="J7" s="107">
        <f>IF(G7="","",$E$7*$G$7)</f>
        <v>401.6</v>
      </c>
      <c r="K7" s="112" t="str">
        <f>IF(H7="","",$E$7*$H$7)</f>
        <v/>
      </c>
      <c r="L7" s="185"/>
      <c r="M7" s="112"/>
      <c r="N7" s="185"/>
      <c r="O7" s="112"/>
      <c r="P7" s="107">
        <f ca="1">IF('SVS GrundRG'!$H$61="",0,'SVS GrundRG'!$H$61)</f>
        <v>0</v>
      </c>
      <c r="Q7" s="187">
        <f>IF(J7=0,0,IF(L7="",0,IF(N7="",0,IF(P7=0,0,ROUND(J7/N7*P7+L7*E7,2)))))</f>
        <v>0</v>
      </c>
      <c r="R7" s="16" t="str">
        <f>IF(E7=0,"",IF(L7="","Steigerkosten eintragen",IF(N7="","Leistungswert eintragen",IF(P7=0,"SVS prüfen",""))))</f>
        <v>Steigerkosten eintragen</v>
      </c>
    </row>
    <row r="8" spans="1:18" ht="24.95" customHeight="1" x14ac:dyDescent="0.15">
      <c r="A8" s="109">
        <v>4</v>
      </c>
      <c r="B8" s="105" t="s">
        <v>252</v>
      </c>
      <c r="C8" s="105" t="s">
        <v>583</v>
      </c>
      <c r="D8" s="106" t="s">
        <v>168</v>
      </c>
      <c r="E8" s="107">
        <f>VLOOKUP(D8,Reinigungstage!A10:AK31,37,FALSE)</f>
        <v>1</v>
      </c>
      <c r="F8" s="110">
        <v>2</v>
      </c>
      <c r="G8" s="111"/>
      <c r="H8" s="111"/>
      <c r="I8" s="107">
        <f>IF(F8="","",$E$8*$F$8)</f>
        <v>2</v>
      </c>
      <c r="J8" s="112" t="str">
        <f>IF(G8="","",$E$8*$G$8)</f>
        <v/>
      </c>
      <c r="K8" s="112" t="str">
        <f>IF(H8="","",$E$8*$H$8)</f>
        <v/>
      </c>
      <c r="L8" s="185"/>
      <c r="M8" s="185"/>
      <c r="N8" s="112"/>
      <c r="O8" s="112"/>
      <c r="P8" s="107">
        <f ca="1">IF('SVS GrundRG'!$H$61="",0,'SVS GrundRG'!$H$61)</f>
        <v>0</v>
      </c>
      <c r="Q8" s="187">
        <f t="shared" ref="Q8:Q25" si="0">IF(I8=0,0,IF(L8="",0,IF(M8="",0,IF(P8=0,0,ROUND(I8/M8*P8+L8*E8,2)))))</f>
        <v>0</v>
      </c>
      <c r="R8" s="16" t="str">
        <f>IF(E8=0,"",IF(L8="","Steigerkosten eintragen",IF(M8="","Leistungswert eintragen",IF(P8=0,"SVS prüfen",""))))</f>
        <v>Steigerkosten eintragen</v>
      </c>
    </row>
    <row r="9" spans="1:18" ht="24.95" customHeight="1" x14ac:dyDescent="0.15">
      <c r="A9" s="109">
        <v>5</v>
      </c>
      <c r="B9" s="105" t="s">
        <v>252</v>
      </c>
      <c r="C9" s="105" t="s">
        <v>584</v>
      </c>
      <c r="D9" s="106" t="s">
        <v>168</v>
      </c>
      <c r="E9" s="107">
        <f>VLOOKUP(D9,Reinigungstage!A10:AK31,37,FALSE)</f>
        <v>1</v>
      </c>
      <c r="F9" s="111"/>
      <c r="G9" s="110">
        <v>24.8</v>
      </c>
      <c r="H9" s="111"/>
      <c r="I9" s="112" t="str">
        <f>IF(F9="","",$E$9*$F$9)</f>
        <v/>
      </c>
      <c r="J9" s="107">
        <f>IF(G9="","",$E$9*$G$9)</f>
        <v>24.8</v>
      </c>
      <c r="K9" s="112" t="str">
        <f>IF(H9="","",$E$9*$H$9)</f>
        <v/>
      </c>
      <c r="L9" s="185"/>
      <c r="M9" s="112"/>
      <c r="N9" s="185"/>
      <c r="O9" s="112"/>
      <c r="P9" s="107">
        <f ca="1">IF('SVS GrundRG'!$H$61="",0,'SVS GrundRG'!$H$61)</f>
        <v>0</v>
      </c>
      <c r="Q9" s="187">
        <f>IF(J9=0,0,IF(L9="",0,IF(N9="",0,IF(P9=0,0,ROUND(J9/N9*P9+L9*E9,2)))))</f>
        <v>0</v>
      </c>
      <c r="R9" s="16" t="str">
        <f>IF(E9=0,"",IF(L9="","Steigerkosten eintragen",IF(N9="","Leistungswert eintragen",IF(P9=0,"SVS prüfen",""))))</f>
        <v>Steigerkosten eintragen</v>
      </c>
    </row>
    <row r="10" spans="1:18" ht="24.95" customHeight="1" x14ac:dyDescent="0.15">
      <c r="A10" s="109">
        <v>6</v>
      </c>
      <c r="B10" s="105" t="s">
        <v>256</v>
      </c>
      <c r="C10" s="105" t="s">
        <v>585</v>
      </c>
      <c r="D10" s="106" t="s">
        <v>168</v>
      </c>
      <c r="E10" s="107">
        <f>VLOOKUP(D10,Reinigungstage!A10:AK31,37,FALSE)</f>
        <v>1</v>
      </c>
      <c r="F10" s="110">
        <v>1</v>
      </c>
      <c r="G10" s="111"/>
      <c r="H10" s="111"/>
      <c r="I10" s="107">
        <f>IF(F10="","",$E$10*$F$10)</f>
        <v>1</v>
      </c>
      <c r="J10" s="112" t="str">
        <f>IF(G10="","",$E$10*$G$10)</f>
        <v/>
      </c>
      <c r="K10" s="112" t="str">
        <f>IF(H10="","",$E$10*$H$10)</f>
        <v/>
      </c>
      <c r="L10" s="185"/>
      <c r="M10" s="185"/>
      <c r="N10" s="112"/>
      <c r="O10" s="112"/>
      <c r="P10" s="107">
        <f ca="1">IF('SVS GrundRG'!$H$61="",0,'SVS GrundRG'!$H$61)</f>
        <v>0</v>
      </c>
      <c r="Q10" s="187">
        <f t="shared" si="0"/>
        <v>0</v>
      </c>
      <c r="R10" s="16" t="str">
        <f>IF(E10=0,"",IF(L10="","Steigerkosten eintragen",IF(M10="","Leistungswert eintragen",IF(P10=0,"SVS prüfen",""))))</f>
        <v>Steigerkosten eintragen</v>
      </c>
    </row>
    <row r="11" spans="1:18" ht="24.95" customHeight="1" x14ac:dyDescent="0.15">
      <c r="A11" s="109">
        <v>7</v>
      </c>
      <c r="B11" s="105" t="s">
        <v>256</v>
      </c>
      <c r="C11" s="105" t="s">
        <v>583</v>
      </c>
      <c r="D11" s="106" t="s">
        <v>168</v>
      </c>
      <c r="E11" s="107">
        <f>VLOOKUP(D11,Reinigungstage!A10:AK31,37,FALSE)</f>
        <v>1</v>
      </c>
      <c r="F11" s="110">
        <v>4</v>
      </c>
      <c r="G11" s="111"/>
      <c r="H11" s="111"/>
      <c r="I11" s="107">
        <f>IF(F11="","",$E$11*$F$11)</f>
        <v>4</v>
      </c>
      <c r="J11" s="112" t="str">
        <f>IF(G11="","",$E$11*$G$11)</f>
        <v/>
      </c>
      <c r="K11" s="112" t="str">
        <f>IF(H11="","",$E$11*$H$11)</f>
        <v/>
      </c>
      <c r="L11" s="185"/>
      <c r="M11" s="185"/>
      <c r="N11" s="112"/>
      <c r="O11" s="112"/>
      <c r="P11" s="107">
        <f ca="1">IF('SVS GrundRG'!$H$61="",0,'SVS GrundRG'!$H$61)</f>
        <v>0</v>
      </c>
      <c r="Q11" s="187">
        <f t="shared" si="0"/>
        <v>0</v>
      </c>
      <c r="R11" s="16" t="str">
        <f>IF(E11=0,"",IF(L11="","Steigerkosten eintragen",IF(M11="","Leistungswert eintragen",IF(P11=0,"SVS prüfen",""))))</f>
        <v>Steigerkosten eintragen</v>
      </c>
    </row>
    <row r="12" spans="1:18" ht="24.95" customHeight="1" x14ac:dyDescent="0.15">
      <c r="A12" s="109">
        <v>8</v>
      </c>
      <c r="B12" s="105" t="s">
        <v>259</v>
      </c>
      <c r="C12" s="105" t="s">
        <v>586</v>
      </c>
      <c r="D12" s="106" t="s">
        <v>168</v>
      </c>
      <c r="E12" s="107">
        <f>VLOOKUP(D12,Reinigungstage!A10:AK31,37,FALSE)</f>
        <v>1</v>
      </c>
      <c r="F12" s="110">
        <v>5</v>
      </c>
      <c r="G12" s="111"/>
      <c r="H12" s="111"/>
      <c r="I12" s="107">
        <f>IF(F12="","",$E$12*$F$12)</f>
        <v>5</v>
      </c>
      <c r="J12" s="112" t="str">
        <f>IF(G12="","",$E$12*$G$12)</f>
        <v/>
      </c>
      <c r="K12" s="112" t="str">
        <f>IF(H12="","",$E$12*$H$12)</f>
        <v/>
      </c>
      <c r="L12" s="185"/>
      <c r="M12" s="185"/>
      <c r="N12" s="112"/>
      <c r="O12" s="112"/>
      <c r="P12" s="107">
        <f ca="1">IF('SVS GrundRG'!$H$61="",0,'SVS GrundRG'!$H$61)</f>
        <v>0</v>
      </c>
      <c r="Q12" s="187">
        <f t="shared" si="0"/>
        <v>0</v>
      </c>
      <c r="R12" s="16" t="str">
        <f>IF(E12=0,"",IF(L12="","Steigerkosten eintragen",IF(M12="","Leistungswert eintragen",IF(P12=0,"SVS prüfen",""))))</f>
        <v>Steigerkosten eintragen</v>
      </c>
    </row>
    <row r="13" spans="1:18" ht="24.95" customHeight="1" x14ac:dyDescent="0.15">
      <c r="A13" s="109">
        <v>9</v>
      </c>
      <c r="B13" s="105" t="s">
        <v>259</v>
      </c>
      <c r="C13" s="105" t="s">
        <v>587</v>
      </c>
      <c r="D13" s="106" t="s">
        <v>168</v>
      </c>
      <c r="E13" s="107">
        <f>VLOOKUP(D13,Reinigungstage!A10:AK31,37,FALSE)</f>
        <v>1</v>
      </c>
      <c r="F13" s="110">
        <v>3</v>
      </c>
      <c r="G13" s="111"/>
      <c r="H13" s="111"/>
      <c r="I13" s="107">
        <f>IF(F13="","",$E$13*$F$13)</f>
        <v>3</v>
      </c>
      <c r="J13" s="112" t="str">
        <f>IF(G13="","",$E$13*$G$13)</f>
        <v/>
      </c>
      <c r="K13" s="112" t="str">
        <f>IF(H13="","",$E$13*$H$13)</f>
        <v/>
      </c>
      <c r="L13" s="185"/>
      <c r="M13" s="185"/>
      <c r="N13" s="112"/>
      <c r="O13" s="112"/>
      <c r="P13" s="107">
        <f ca="1">IF('SVS GrundRG'!$H$61="",0,'SVS GrundRG'!$H$61)</f>
        <v>0</v>
      </c>
      <c r="Q13" s="187">
        <f t="shared" si="0"/>
        <v>0</v>
      </c>
      <c r="R13" s="16" t="str">
        <f>IF(E13=0,"",IF(L13="","Steigerkosten eintragen",IF(M13="","Leistungswert eintragen",IF(P13=0,"SVS prüfen",""))))</f>
        <v>Steigerkosten eintragen</v>
      </c>
    </row>
    <row r="14" spans="1:18" ht="24.95" customHeight="1" x14ac:dyDescent="0.15">
      <c r="A14" s="109">
        <v>10</v>
      </c>
      <c r="B14" s="105" t="s">
        <v>259</v>
      </c>
      <c r="C14" s="105" t="s">
        <v>588</v>
      </c>
      <c r="D14" s="106" t="s">
        <v>168</v>
      </c>
      <c r="E14" s="107">
        <f>VLOOKUP(D14,Reinigungstage!A10:AK31,37,FALSE)</f>
        <v>1</v>
      </c>
      <c r="F14" s="110">
        <v>3</v>
      </c>
      <c r="G14" s="111"/>
      <c r="H14" s="111"/>
      <c r="I14" s="107">
        <f>IF(F14="","",$E$14*$F$14)</f>
        <v>3</v>
      </c>
      <c r="J14" s="112" t="str">
        <f>IF(G14="","",$E$14*$G$14)</f>
        <v/>
      </c>
      <c r="K14" s="112" t="str">
        <f>IF(H14="","",$E$14*$H$14)</f>
        <v/>
      </c>
      <c r="L14" s="185"/>
      <c r="M14" s="185"/>
      <c r="N14" s="112"/>
      <c r="O14" s="112"/>
      <c r="P14" s="107">
        <f ca="1">IF('SVS GrundRG'!$H$61="",0,'SVS GrundRG'!$H$61)</f>
        <v>0</v>
      </c>
      <c r="Q14" s="187">
        <f t="shared" si="0"/>
        <v>0</v>
      </c>
      <c r="R14" s="16" t="str">
        <f>IF(E14=0,"",IF(L14="","Steigerkosten eintragen",IF(M14="","Leistungswert eintragen",IF(P14=0,"SVS prüfen",""))))</f>
        <v>Steigerkosten eintragen</v>
      </c>
    </row>
    <row r="15" spans="1:18" ht="24.95" customHeight="1" x14ac:dyDescent="0.15">
      <c r="A15" s="109">
        <v>11</v>
      </c>
      <c r="B15" s="105" t="s">
        <v>259</v>
      </c>
      <c r="C15" s="105" t="s">
        <v>584</v>
      </c>
      <c r="D15" s="106" t="s">
        <v>168</v>
      </c>
      <c r="E15" s="107">
        <f>VLOOKUP(D15,Reinigungstage!A10:AK31,37,FALSE)</f>
        <v>1</v>
      </c>
      <c r="F15" s="111"/>
      <c r="G15" s="110">
        <v>57.1</v>
      </c>
      <c r="H15" s="111"/>
      <c r="I15" s="112" t="str">
        <f>IF(F15="","",$E$15*$F$15)</f>
        <v/>
      </c>
      <c r="J15" s="107">
        <f>IF(G15="","",$E$15*$G$15)</f>
        <v>57.1</v>
      </c>
      <c r="K15" s="112" t="str">
        <f>IF(H15="","",$E$15*$H$15)</f>
        <v/>
      </c>
      <c r="L15" s="185"/>
      <c r="M15" s="112"/>
      <c r="N15" s="185"/>
      <c r="O15" s="112"/>
      <c r="P15" s="107">
        <f ca="1">IF('SVS GrundRG'!$H$61="",0,'SVS GrundRG'!$H$61)</f>
        <v>0</v>
      </c>
      <c r="Q15" s="187">
        <f>IF(J15=0,0,IF(L15="",0,IF(N15="",0,IF(P15=0,0,ROUND(J15/N15*P15+L15*E15,2)))))</f>
        <v>0</v>
      </c>
      <c r="R15" s="16" t="str">
        <f>IF(E15=0,"",IF(L15="","Steigerkosten eintragen",IF(N15="","Leistungswert eintragen",IF(P15=0,"SVS prüfen",""))))</f>
        <v>Steigerkosten eintragen</v>
      </c>
    </row>
    <row r="16" spans="1:18" ht="24.95" customHeight="1" x14ac:dyDescent="0.15">
      <c r="A16" s="109">
        <v>12</v>
      </c>
      <c r="B16" s="105" t="s">
        <v>261</v>
      </c>
      <c r="C16" s="105" t="s">
        <v>589</v>
      </c>
      <c r="D16" s="106" t="s">
        <v>168</v>
      </c>
      <c r="E16" s="107">
        <f>VLOOKUP(D16,Reinigungstage!A10:AK31,37,FALSE)</f>
        <v>1</v>
      </c>
      <c r="F16" s="111"/>
      <c r="G16" s="110">
        <v>37</v>
      </c>
      <c r="H16" s="111"/>
      <c r="I16" s="112" t="str">
        <f>IF(F16="","",$E$16*$F$16)</f>
        <v/>
      </c>
      <c r="J16" s="107">
        <f>IF(G16="","",$E$16*$G$16)</f>
        <v>37</v>
      </c>
      <c r="K16" s="112" t="str">
        <f>IF(H16="","",$E$16*$H$16)</f>
        <v/>
      </c>
      <c r="L16" s="185"/>
      <c r="M16" s="112"/>
      <c r="N16" s="185"/>
      <c r="O16" s="112"/>
      <c r="P16" s="107">
        <f ca="1">IF('SVS GrundRG'!$H$61="",0,'SVS GrundRG'!$H$61)</f>
        <v>0</v>
      </c>
      <c r="Q16" s="187">
        <f t="shared" ref="Q16:Q21" si="1">IF(J16=0,0,IF(L16="",0,IF(N16="",0,IF(P16=0,0,ROUND(J16/N16*P16+L16*E16,2)))))</f>
        <v>0</v>
      </c>
      <c r="R16" s="16" t="str">
        <f>IF(E16=0,"",IF(L16="","Steigerkosten eintragen",IF(N16="","Leistungswert eintragen",IF(P16=0,"SVS prüfen",""))))</f>
        <v>Steigerkosten eintragen</v>
      </c>
    </row>
    <row r="17" spans="1:18" ht="24.95" customHeight="1" x14ac:dyDescent="0.15">
      <c r="A17" s="109">
        <v>13</v>
      </c>
      <c r="B17" s="105" t="s">
        <v>261</v>
      </c>
      <c r="C17" s="105" t="s">
        <v>584</v>
      </c>
      <c r="D17" s="106" t="s">
        <v>168</v>
      </c>
      <c r="E17" s="107">
        <f>VLOOKUP(D17,Reinigungstage!A10:AK31,37,FALSE)</f>
        <v>1</v>
      </c>
      <c r="F17" s="111"/>
      <c r="G17" s="110">
        <v>17.2</v>
      </c>
      <c r="H17" s="111"/>
      <c r="I17" s="112" t="str">
        <f>IF(F17="","",$E$17*$F$17)</f>
        <v/>
      </c>
      <c r="J17" s="107">
        <f>IF(G17="","",$E$17*$G$17)</f>
        <v>17.2</v>
      </c>
      <c r="K17" s="112" t="str">
        <f>IF(H17="","",$E$17*$H$17)</f>
        <v/>
      </c>
      <c r="L17" s="185"/>
      <c r="M17" s="112"/>
      <c r="N17" s="185"/>
      <c r="O17" s="112"/>
      <c r="P17" s="107">
        <f ca="1">IF('SVS GrundRG'!$H$61="",0,'SVS GrundRG'!$H$61)</f>
        <v>0</v>
      </c>
      <c r="Q17" s="187">
        <f t="shared" si="1"/>
        <v>0</v>
      </c>
      <c r="R17" s="16" t="str">
        <f>IF(E17=0,"",IF(L17="","Steigerkosten eintragen",IF(N17="","Leistungswert eintragen",IF(P17=0,"SVS prüfen",""))))</f>
        <v>Steigerkosten eintragen</v>
      </c>
    </row>
    <row r="18" spans="1:18" ht="24.95" customHeight="1" x14ac:dyDescent="0.15">
      <c r="A18" s="109">
        <v>14</v>
      </c>
      <c r="B18" s="105" t="s">
        <v>266</v>
      </c>
      <c r="C18" s="105" t="s">
        <v>589</v>
      </c>
      <c r="D18" s="106" t="s">
        <v>168</v>
      </c>
      <c r="E18" s="107">
        <f>VLOOKUP(D18,Reinigungstage!A10:AK31,37,FALSE)</f>
        <v>1</v>
      </c>
      <c r="F18" s="111"/>
      <c r="G18" s="110">
        <v>43</v>
      </c>
      <c r="H18" s="111"/>
      <c r="I18" s="112" t="str">
        <f>IF(F18="","",$E$18*$F$18)</f>
        <v/>
      </c>
      <c r="J18" s="107">
        <f>IF(G18="","",$E$18*$G$18)</f>
        <v>43</v>
      </c>
      <c r="K18" s="112" t="str">
        <f>IF(H18="","",$E$18*$H$18)</f>
        <v/>
      </c>
      <c r="L18" s="185"/>
      <c r="M18" s="112"/>
      <c r="N18" s="185"/>
      <c r="O18" s="112"/>
      <c r="P18" s="107">
        <f ca="1">IF('SVS GrundRG'!$H$61="",0,'SVS GrundRG'!$H$61)</f>
        <v>0</v>
      </c>
      <c r="Q18" s="187">
        <f t="shared" si="1"/>
        <v>0</v>
      </c>
      <c r="R18" s="16" t="str">
        <f>IF(E18=0,"",IF(L18="","Steigerkosten eintragen",IF(N18="","Leistungswert eintragen",IF(P18=0,"SVS prüfen",""))))</f>
        <v>Steigerkosten eintragen</v>
      </c>
    </row>
    <row r="19" spans="1:18" ht="24.95" customHeight="1" x14ac:dyDescent="0.15">
      <c r="A19" s="109">
        <v>15</v>
      </c>
      <c r="B19" s="105" t="s">
        <v>268</v>
      </c>
      <c r="C19" s="105" t="s">
        <v>589</v>
      </c>
      <c r="D19" s="106" t="s">
        <v>168</v>
      </c>
      <c r="E19" s="107">
        <f>VLOOKUP(D19,Reinigungstage!A10:AK31,37,FALSE)</f>
        <v>1</v>
      </c>
      <c r="F19" s="111"/>
      <c r="G19" s="110">
        <v>17</v>
      </c>
      <c r="H19" s="111"/>
      <c r="I19" s="112" t="str">
        <f>IF(F19="","",$E$19*$F$19)</f>
        <v/>
      </c>
      <c r="J19" s="107">
        <f>IF(G19="","",$E$19*$G$19)</f>
        <v>17</v>
      </c>
      <c r="K19" s="112" t="str">
        <f>IF(H19="","",$E$19*$H$19)</f>
        <v/>
      </c>
      <c r="L19" s="185"/>
      <c r="M19" s="112"/>
      <c r="N19" s="185"/>
      <c r="O19" s="112"/>
      <c r="P19" s="107">
        <f ca="1">IF('SVS GrundRG'!$H$61="",0,'SVS GrundRG'!$H$61)</f>
        <v>0</v>
      </c>
      <c r="Q19" s="187">
        <f t="shared" si="1"/>
        <v>0</v>
      </c>
      <c r="R19" s="16" t="str">
        <f>IF(E19=0,"",IF(L19="","Steigerkosten eintragen",IF(N19="","Leistungswert eintragen",IF(P19=0,"SVS prüfen",""))))</f>
        <v>Steigerkosten eintragen</v>
      </c>
    </row>
    <row r="20" spans="1:18" ht="24.95" customHeight="1" x14ac:dyDescent="0.15">
      <c r="A20" s="109">
        <v>16</v>
      </c>
      <c r="B20" s="105" t="s">
        <v>268</v>
      </c>
      <c r="C20" s="105" t="s">
        <v>585</v>
      </c>
      <c r="D20" s="106" t="s">
        <v>168</v>
      </c>
      <c r="E20" s="107">
        <f>VLOOKUP(D20,Reinigungstage!A10:AK31,37,FALSE)</f>
        <v>1</v>
      </c>
      <c r="F20" s="110">
        <v>2</v>
      </c>
      <c r="G20" s="111"/>
      <c r="H20" s="111"/>
      <c r="I20" s="107">
        <f>IF(F20="","",$E$20*$F$20)</f>
        <v>2</v>
      </c>
      <c r="J20" s="112" t="str">
        <f>IF(G20="","",$E$20*$G$20)</f>
        <v/>
      </c>
      <c r="K20" s="112" t="str">
        <f>IF(H20="","",$E$20*$H$20)</f>
        <v/>
      </c>
      <c r="L20" s="185"/>
      <c r="M20" s="185"/>
      <c r="N20" s="112"/>
      <c r="O20" s="112"/>
      <c r="P20" s="107">
        <f ca="1">IF('SVS GrundRG'!$H$61="",0,'SVS GrundRG'!$H$61)</f>
        <v>0</v>
      </c>
      <c r="Q20" s="187">
        <f t="shared" si="0"/>
        <v>0</v>
      </c>
      <c r="R20" s="16" t="str">
        <f>IF(E20=0,"",IF(L20="","Steigerkosten eintragen",IF(M20="","Leistungswert eintragen",IF(P20=0,"SVS prüfen",""))))</f>
        <v>Steigerkosten eintragen</v>
      </c>
    </row>
    <row r="21" spans="1:18" ht="24.95" customHeight="1" x14ac:dyDescent="0.15">
      <c r="A21" s="109">
        <v>17</v>
      </c>
      <c r="B21" s="105" t="s">
        <v>268</v>
      </c>
      <c r="C21" s="105" t="s">
        <v>584</v>
      </c>
      <c r="D21" s="106" t="s">
        <v>168</v>
      </c>
      <c r="E21" s="107">
        <f>VLOOKUP(D21,Reinigungstage!A10:AK31,37,FALSE)</f>
        <v>1</v>
      </c>
      <c r="F21" s="111"/>
      <c r="G21" s="110">
        <v>6.4</v>
      </c>
      <c r="H21" s="111"/>
      <c r="I21" s="112" t="str">
        <f>IF(F21="","",$E$21*$F$21)</f>
        <v/>
      </c>
      <c r="J21" s="107">
        <f>IF(G21="","",$E$21*$G$21)</f>
        <v>6.4</v>
      </c>
      <c r="K21" s="112" t="str">
        <f>IF(H21="","",$E$21*$H$21)</f>
        <v/>
      </c>
      <c r="L21" s="185"/>
      <c r="M21" s="112"/>
      <c r="N21" s="185"/>
      <c r="O21" s="112"/>
      <c r="P21" s="107">
        <f ca="1">IF('SVS GrundRG'!$H$61="",0,'SVS GrundRG'!$H$61)</f>
        <v>0</v>
      </c>
      <c r="Q21" s="187">
        <f t="shared" si="1"/>
        <v>0</v>
      </c>
      <c r="R21" s="16" t="str">
        <f>IF(E21=0,"",IF(L21="","Steigerkosten eintragen",IF(N21="","Leistungswert eintragen",IF(P21=0,"SVS prüfen",""))))</f>
        <v>Steigerkosten eintragen</v>
      </c>
    </row>
    <row r="22" spans="1:18" ht="24.95" customHeight="1" x14ac:dyDescent="0.15">
      <c r="A22" s="109">
        <v>18</v>
      </c>
      <c r="B22" s="105" t="s">
        <v>270</v>
      </c>
      <c r="C22" s="105" t="s">
        <v>583</v>
      </c>
      <c r="D22" s="106" t="s">
        <v>168</v>
      </c>
      <c r="E22" s="107">
        <f>VLOOKUP(D22,Reinigungstage!A10:AK31,37,FALSE)</f>
        <v>1</v>
      </c>
      <c r="F22" s="110">
        <v>3</v>
      </c>
      <c r="G22" s="111"/>
      <c r="H22" s="111"/>
      <c r="I22" s="107">
        <f>IF(F22="","",$E$22*$F$22)</f>
        <v>3</v>
      </c>
      <c r="J22" s="112" t="str">
        <f>IF(G22="","",$E$22*$G$22)</f>
        <v/>
      </c>
      <c r="K22" s="112" t="str">
        <f>IF(H22="","",$E$22*$H$22)</f>
        <v/>
      </c>
      <c r="L22" s="185"/>
      <c r="M22" s="185"/>
      <c r="N22" s="112"/>
      <c r="O22" s="112"/>
      <c r="P22" s="107">
        <f ca="1">IF('SVS GrundRG'!$H$61="",0,'SVS GrundRG'!$H$61)</f>
        <v>0</v>
      </c>
      <c r="Q22" s="187">
        <f t="shared" si="0"/>
        <v>0</v>
      </c>
      <c r="R22" s="16" t="str">
        <f>IF(E22=0,"",IF(L22="","Steigerkosten eintragen",IF(M22="","Leistungswert eintragen",IF(P22=0,"SVS prüfen",""))))</f>
        <v>Steigerkosten eintragen</v>
      </c>
    </row>
    <row r="23" spans="1:18" ht="24.95" customHeight="1" x14ac:dyDescent="0.15">
      <c r="A23" s="109">
        <v>19</v>
      </c>
      <c r="B23" s="105" t="s">
        <v>270</v>
      </c>
      <c r="C23" s="105" t="s">
        <v>586</v>
      </c>
      <c r="D23" s="106" t="s">
        <v>168</v>
      </c>
      <c r="E23" s="107">
        <f>VLOOKUP(D23,Reinigungstage!A10:AK31,37,FALSE)</f>
        <v>1</v>
      </c>
      <c r="F23" s="110">
        <v>1</v>
      </c>
      <c r="G23" s="111"/>
      <c r="H23" s="111"/>
      <c r="I23" s="107">
        <f>IF(F23="","",$E$23*$F$23)</f>
        <v>1</v>
      </c>
      <c r="J23" s="112" t="str">
        <f>IF(G23="","",$E$23*$G$23)</f>
        <v/>
      </c>
      <c r="K23" s="112" t="str">
        <f>IF(H23="","",$E$23*$H$23)</f>
        <v/>
      </c>
      <c r="L23" s="185"/>
      <c r="M23" s="185"/>
      <c r="N23" s="112"/>
      <c r="O23" s="112"/>
      <c r="P23" s="107">
        <f ca="1">IF('SVS GrundRG'!$H$61="",0,'SVS GrundRG'!$H$61)</f>
        <v>0</v>
      </c>
      <c r="Q23" s="187">
        <f t="shared" si="0"/>
        <v>0</v>
      </c>
      <c r="R23" s="16" t="str">
        <f>IF(E23=0,"",IF(L23="","Steigerkosten eintragen",IF(M23="","Leistungswert eintragen",IF(P23=0,"SVS prüfen",""))))</f>
        <v>Steigerkosten eintragen</v>
      </c>
    </row>
    <row r="24" spans="1:18" ht="24.95" customHeight="1" x14ac:dyDescent="0.15">
      <c r="A24" s="109">
        <v>20</v>
      </c>
      <c r="B24" s="105" t="s">
        <v>270</v>
      </c>
      <c r="C24" s="105" t="s">
        <v>584</v>
      </c>
      <c r="D24" s="106" t="s">
        <v>168</v>
      </c>
      <c r="E24" s="107">
        <f>VLOOKUP(D24,Reinigungstage!A10:AK31,37,FALSE)</f>
        <v>1</v>
      </c>
      <c r="F24" s="111"/>
      <c r="G24" s="110">
        <v>33</v>
      </c>
      <c r="H24" s="111"/>
      <c r="I24" s="112" t="str">
        <f>IF(F24="","",$E$24*$F$24)</f>
        <v/>
      </c>
      <c r="J24" s="107">
        <f>IF(G24="","",$E$24*$G$24)</f>
        <v>33</v>
      </c>
      <c r="K24" s="112" t="str">
        <f>IF(H24="","",$E$24*$H$24)</f>
        <v/>
      </c>
      <c r="L24" s="185"/>
      <c r="M24" s="112"/>
      <c r="N24" s="185"/>
      <c r="O24" s="112"/>
      <c r="P24" s="107">
        <f ca="1">IF('SVS GrundRG'!$H$61="",0,'SVS GrundRG'!$H$61)</f>
        <v>0</v>
      </c>
      <c r="Q24" s="187">
        <f t="shared" ref="Q24" si="2">IF(J24=0,0,IF(L24="",0,IF(N24="",0,IF(P24=0,0,ROUND(J24/N24*P24+L24*E24,2)))))</f>
        <v>0</v>
      </c>
      <c r="R24" s="16" t="str">
        <f>IF(E24=0,"",IF(L24="","Steigerkosten eintragen",IF(N24="","Leistungswert eintragen",IF(P24=0,"SVS prüfen",""))))</f>
        <v>Steigerkosten eintragen</v>
      </c>
    </row>
    <row r="25" spans="1:18" ht="24.95" customHeight="1" x14ac:dyDescent="0.15">
      <c r="A25" s="109">
        <v>21</v>
      </c>
      <c r="B25" s="105" t="s">
        <v>272</v>
      </c>
      <c r="C25" s="105" t="s">
        <v>583</v>
      </c>
      <c r="D25" s="106" t="s">
        <v>168</v>
      </c>
      <c r="E25" s="107">
        <f>VLOOKUP(D25,Reinigungstage!A10:AK31,37,FALSE)</f>
        <v>1</v>
      </c>
      <c r="F25" s="110">
        <v>24</v>
      </c>
      <c r="G25" s="111"/>
      <c r="H25" s="111"/>
      <c r="I25" s="107">
        <f>IF(F25="","",$E$25*$F$25)</f>
        <v>24</v>
      </c>
      <c r="J25" s="112" t="str">
        <f>IF(G25="","",$E$25*$G$25)</f>
        <v/>
      </c>
      <c r="K25" s="112" t="str">
        <f>IF(H25="","",$E$25*$H$25)</f>
        <v/>
      </c>
      <c r="L25" s="185"/>
      <c r="M25" s="185"/>
      <c r="N25" s="112"/>
      <c r="O25" s="112"/>
      <c r="P25" s="107">
        <f ca="1">IF('SVS GrundRG'!$H$61="",0,'SVS GrundRG'!$H$61)</f>
        <v>0</v>
      </c>
      <c r="Q25" s="187">
        <f t="shared" si="0"/>
        <v>0</v>
      </c>
      <c r="R25" s="16" t="str">
        <f>IF(E25=0,"",IF(L25="","Steigerkosten eintragen",IF(M25="","Leistungswert eintragen",IF(P25=0,"SVS prüfen",""))))</f>
        <v>Steigerkosten eintragen</v>
      </c>
    </row>
    <row r="26" spans="1:18" ht="24.95" customHeight="1" x14ac:dyDescent="0.15">
      <c r="A26" s="109">
        <v>22</v>
      </c>
      <c r="B26" s="105" t="s">
        <v>272</v>
      </c>
      <c r="C26" s="105" t="s">
        <v>584</v>
      </c>
      <c r="D26" s="106" t="s">
        <v>168</v>
      </c>
      <c r="E26" s="107">
        <f>VLOOKUP(D26,Reinigungstage!A10:AK31,37,FALSE)</f>
        <v>1</v>
      </c>
      <c r="F26" s="111"/>
      <c r="G26" s="110">
        <v>35.200000000000003</v>
      </c>
      <c r="H26" s="111"/>
      <c r="I26" s="112" t="str">
        <f>IF(F26="","",$E$26*$F$26)</f>
        <v/>
      </c>
      <c r="J26" s="107">
        <f>IF(G26="","",$E$26*$G$26)</f>
        <v>35.200000000000003</v>
      </c>
      <c r="K26" s="112" t="str">
        <f>IF(H26="","",$E$26*$H$26)</f>
        <v/>
      </c>
      <c r="L26" s="185"/>
      <c r="M26" s="112"/>
      <c r="N26" s="185"/>
      <c r="O26" s="112"/>
      <c r="P26" s="107">
        <f ca="1">IF('SVS GrundRG'!$H$61="",0,'SVS GrundRG'!$H$61)</f>
        <v>0</v>
      </c>
      <c r="Q26" s="187">
        <f t="shared" ref="Q26" si="3">IF(J26=0,0,IF(L26="",0,IF(N26="",0,IF(P26=0,0,ROUND(J26/N26*P26+L26*E26,2)))))</f>
        <v>0</v>
      </c>
      <c r="R26" s="16" t="str">
        <f>IF(E26=0,"",IF(L26="","Steigerkosten eintragen",IF(N26="","Leistungswert eintragen",IF(P26=0,"SVS prüfen",""))))</f>
        <v>Steigerkosten eintragen</v>
      </c>
    </row>
    <row r="27" spans="1:18" x14ac:dyDescent="0.15">
      <c r="A27" s="16"/>
      <c r="B27" s="16"/>
      <c r="C27" s="16"/>
      <c r="D27" s="16"/>
      <c r="E27" s="16"/>
      <c r="F27" s="16"/>
      <c r="G27" s="16"/>
      <c r="H27" s="16"/>
      <c r="I27" s="16"/>
      <c r="J27" s="16"/>
      <c r="K27" s="16"/>
      <c r="L27" s="16"/>
      <c r="M27" s="16"/>
      <c r="N27" s="16"/>
      <c r="O27" s="16"/>
    </row>
    <row r="28" spans="1:18" x14ac:dyDescent="0.15">
      <c r="A28" s="16"/>
      <c r="B28" s="16"/>
      <c r="C28" s="16"/>
      <c r="D28" s="16"/>
      <c r="E28" s="16"/>
      <c r="F28" s="16"/>
      <c r="G28" s="16"/>
      <c r="H28" s="16"/>
      <c r="I28" s="16"/>
      <c r="J28" s="16"/>
      <c r="K28" s="16"/>
      <c r="L28" s="16"/>
      <c r="M28" s="16"/>
      <c r="N28" s="16"/>
      <c r="O28" s="16"/>
    </row>
    <row r="29" spans="1:18" ht="15" customHeight="1" x14ac:dyDescent="0.15">
      <c r="A29" s="16"/>
      <c r="B29" s="241" t="s">
        <v>618</v>
      </c>
      <c r="C29" s="192"/>
      <c r="D29" s="192"/>
      <c r="E29" s="192"/>
      <c r="F29" s="192"/>
      <c r="G29" s="192"/>
      <c r="H29" s="192"/>
      <c r="I29" s="192"/>
      <c r="J29" s="16"/>
      <c r="K29" s="16"/>
      <c r="L29" s="16"/>
      <c r="M29" s="16"/>
      <c r="N29" s="16"/>
      <c r="O29" s="16"/>
    </row>
    <row r="30" spans="1:18" ht="15" customHeight="1" x14ac:dyDescent="0.15">
      <c r="A30" s="16"/>
      <c r="B30" s="241" t="s">
        <v>619</v>
      </c>
      <c r="C30" s="192"/>
      <c r="D30" s="192"/>
      <c r="E30" s="192"/>
      <c r="F30" s="192"/>
      <c r="G30" s="192"/>
      <c r="H30" s="192"/>
      <c r="I30" s="192"/>
      <c r="J30" s="16"/>
      <c r="K30" s="16"/>
      <c r="L30" s="16"/>
      <c r="M30" s="16"/>
      <c r="N30" s="16"/>
      <c r="O30" s="16"/>
    </row>
    <row r="31" spans="1:18" ht="15" customHeight="1" x14ac:dyDescent="0.15">
      <c r="A31" s="16"/>
      <c r="B31" s="241" t="s">
        <v>620</v>
      </c>
      <c r="C31" s="192"/>
      <c r="D31" s="192"/>
      <c r="E31" s="192"/>
      <c r="F31" s="192"/>
      <c r="G31" s="192"/>
      <c r="H31" s="192"/>
      <c r="I31" s="192"/>
      <c r="J31" s="16"/>
      <c r="K31" s="16"/>
      <c r="L31" s="16"/>
      <c r="M31" s="16"/>
      <c r="N31" s="16"/>
      <c r="O31" s="16"/>
    </row>
    <row r="32" spans="1:18" x14ac:dyDescent="0.15">
      <c r="A32" s="16"/>
      <c r="B32" s="16"/>
      <c r="C32" s="16"/>
      <c r="D32" s="16"/>
      <c r="E32" s="16"/>
      <c r="F32" s="16"/>
      <c r="G32" s="16"/>
      <c r="H32" s="16"/>
      <c r="I32" s="16"/>
      <c r="J32" s="16"/>
      <c r="K32" s="16"/>
      <c r="L32" s="16"/>
      <c r="M32" s="16"/>
      <c r="N32" s="16"/>
      <c r="O32" s="16"/>
    </row>
    <row r="33" spans="1:15" x14ac:dyDescent="0.15">
      <c r="A33" s="16"/>
      <c r="B33" s="16"/>
      <c r="C33" s="16"/>
      <c r="D33" s="16"/>
      <c r="E33" s="16"/>
      <c r="F33" s="16"/>
      <c r="G33" s="16"/>
      <c r="H33" s="16"/>
      <c r="I33" s="16"/>
      <c r="J33" s="16"/>
      <c r="K33" s="16"/>
      <c r="L33" s="16"/>
      <c r="M33" s="16"/>
      <c r="N33" s="16"/>
      <c r="O33" s="16"/>
    </row>
    <row r="34" spans="1:15" x14ac:dyDescent="0.15">
      <c r="A34" s="16"/>
      <c r="B34" s="16"/>
      <c r="C34" s="16"/>
      <c r="D34" s="16"/>
      <c r="E34" s="16"/>
      <c r="F34" s="16"/>
      <c r="G34" s="16"/>
      <c r="H34" s="16"/>
      <c r="I34" s="16"/>
      <c r="J34" s="16"/>
      <c r="K34" s="16"/>
      <c r="L34" s="16"/>
      <c r="M34" s="16"/>
      <c r="N34" s="16"/>
      <c r="O34" s="16"/>
    </row>
    <row r="35" spans="1:15" x14ac:dyDescent="0.15">
      <c r="A35" s="16"/>
      <c r="B35" s="16"/>
      <c r="C35" s="16"/>
      <c r="D35" s="16"/>
      <c r="E35" s="16"/>
      <c r="F35" s="16"/>
      <c r="G35" s="16"/>
      <c r="H35" s="16"/>
      <c r="I35" s="16"/>
      <c r="J35" s="16"/>
      <c r="K35" s="16"/>
      <c r="L35" s="16"/>
      <c r="M35" s="16"/>
      <c r="N35" s="16"/>
      <c r="O35" s="16"/>
    </row>
    <row r="36" spans="1:15" x14ac:dyDescent="0.15">
      <c r="A36" s="16"/>
      <c r="B36" s="16"/>
      <c r="C36" s="16"/>
      <c r="D36" s="16"/>
      <c r="E36" s="16"/>
      <c r="F36" s="16"/>
      <c r="G36" s="16"/>
      <c r="H36" s="16"/>
      <c r="I36" s="16"/>
      <c r="J36" s="16"/>
      <c r="K36" s="16"/>
      <c r="L36" s="16"/>
      <c r="M36" s="16"/>
      <c r="N36" s="16"/>
      <c r="O36" s="16"/>
    </row>
    <row r="37" spans="1:15" x14ac:dyDescent="0.15">
      <c r="A37" s="16"/>
      <c r="B37" s="16"/>
      <c r="C37" s="16"/>
      <c r="D37" s="16"/>
      <c r="E37" s="16"/>
      <c r="F37" s="16"/>
      <c r="G37" s="16"/>
      <c r="H37" s="16"/>
      <c r="I37" s="16"/>
      <c r="J37" s="16"/>
      <c r="K37" s="16"/>
      <c r="L37" s="16"/>
      <c r="M37" s="16"/>
      <c r="N37" s="16"/>
      <c r="O37" s="16"/>
    </row>
    <row r="38" spans="1:15" x14ac:dyDescent="0.15">
      <c r="A38" s="16"/>
      <c r="B38" s="16"/>
      <c r="C38" s="16"/>
      <c r="D38" s="16"/>
      <c r="E38" s="16"/>
      <c r="F38" s="16"/>
      <c r="G38" s="16"/>
      <c r="H38" s="16"/>
      <c r="I38" s="16"/>
      <c r="J38" s="16"/>
      <c r="K38" s="16"/>
      <c r="L38" s="16"/>
      <c r="M38" s="16"/>
      <c r="N38" s="16"/>
      <c r="O38" s="16"/>
    </row>
    <row r="39" spans="1:15" x14ac:dyDescent="0.15">
      <c r="A39" s="16"/>
      <c r="B39" s="16"/>
      <c r="C39" s="16"/>
      <c r="D39" s="16"/>
      <c r="E39" s="16"/>
      <c r="F39" s="16"/>
      <c r="G39" s="16"/>
      <c r="H39" s="16"/>
      <c r="I39" s="16"/>
      <c r="J39" s="16"/>
      <c r="K39" s="16"/>
      <c r="L39" s="16"/>
      <c r="M39" s="16"/>
      <c r="N39" s="16"/>
      <c r="O39" s="16"/>
    </row>
    <row r="40" spans="1:15" x14ac:dyDescent="0.15">
      <c r="A40" s="16"/>
      <c r="B40" s="16"/>
      <c r="C40" s="16"/>
      <c r="D40" s="16"/>
      <c r="E40" s="16"/>
      <c r="F40" s="16"/>
      <c r="G40" s="16"/>
      <c r="H40" s="16"/>
      <c r="I40" s="16"/>
      <c r="J40" s="16"/>
      <c r="K40" s="16"/>
      <c r="L40" s="16"/>
      <c r="M40" s="16"/>
      <c r="N40" s="16"/>
      <c r="O40" s="16"/>
    </row>
    <row r="41" spans="1:15" x14ac:dyDescent="0.15">
      <c r="A41" s="16"/>
      <c r="B41" s="16"/>
      <c r="C41" s="16"/>
      <c r="D41" s="16"/>
      <c r="E41" s="16"/>
      <c r="F41" s="16"/>
      <c r="G41" s="16"/>
      <c r="H41" s="16"/>
      <c r="I41" s="16"/>
      <c r="J41" s="16"/>
      <c r="K41" s="16"/>
      <c r="L41" s="16"/>
      <c r="M41" s="16"/>
      <c r="N41" s="16"/>
      <c r="O41" s="16"/>
    </row>
    <row r="42" spans="1:15" x14ac:dyDescent="0.15">
      <c r="A42" s="16"/>
      <c r="B42" s="16"/>
      <c r="C42" s="16"/>
      <c r="D42" s="16"/>
      <c r="E42" s="16"/>
      <c r="F42" s="16"/>
      <c r="G42" s="16"/>
      <c r="H42" s="16"/>
      <c r="I42" s="16"/>
      <c r="J42" s="16"/>
      <c r="K42" s="16"/>
      <c r="L42" s="16"/>
      <c r="M42" s="16"/>
      <c r="N42" s="16"/>
      <c r="O42" s="16"/>
    </row>
    <row r="43" spans="1:15" x14ac:dyDescent="0.15">
      <c r="A43" s="16"/>
      <c r="B43" s="16"/>
      <c r="C43" s="16"/>
      <c r="D43" s="16"/>
      <c r="E43" s="16"/>
      <c r="F43" s="16"/>
      <c r="G43" s="16"/>
      <c r="H43" s="16"/>
      <c r="I43" s="16"/>
      <c r="J43" s="16"/>
      <c r="K43" s="16"/>
      <c r="L43" s="16"/>
      <c r="M43" s="16"/>
      <c r="N43" s="16"/>
      <c r="O43" s="16"/>
    </row>
    <row r="44" spans="1:15" x14ac:dyDescent="0.15">
      <c r="A44" s="16"/>
      <c r="B44" s="16"/>
      <c r="C44" s="16"/>
      <c r="D44" s="16"/>
      <c r="E44" s="16"/>
      <c r="F44" s="16"/>
      <c r="G44" s="16"/>
      <c r="H44" s="16"/>
      <c r="I44" s="16"/>
      <c r="J44" s="16"/>
      <c r="K44" s="16"/>
      <c r="L44" s="16"/>
      <c r="M44" s="16"/>
      <c r="N44" s="16"/>
      <c r="O44" s="16"/>
    </row>
    <row r="45" spans="1:15" x14ac:dyDescent="0.15">
      <c r="A45" s="16"/>
      <c r="B45" s="16"/>
      <c r="C45" s="16"/>
      <c r="D45" s="16"/>
      <c r="E45" s="16"/>
      <c r="F45" s="16"/>
      <c r="G45" s="16"/>
      <c r="H45" s="16"/>
      <c r="I45" s="16"/>
      <c r="J45" s="16"/>
      <c r="K45" s="16"/>
      <c r="L45" s="16"/>
      <c r="M45" s="16"/>
      <c r="N45" s="16"/>
      <c r="O45" s="16"/>
    </row>
    <row r="46" spans="1:15" x14ac:dyDescent="0.15">
      <c r="A46" s="16"/>
      <c r="B46" s="16"/>
      <c r="C46" s="16"/>
      <c r="D46" s="16"/>
      <c r="E46" s="16"/>
      <c r="F46" s="16"/>
      <c r="G46" s="16"/>
      <c r="H46" s="16"/>
      <c r="I46" s="16"/>
      <c r="J46" s="16"/>
      <c r="K46" s="16"/>
      <c r="L46" s="16"/>
      <c r="M46" s="16"/>
      <c r="N46" s="16"/>
      <c r="O46" s="16"/>
    </row>
    <row r="47" spans="1:15" x14ac:dyDescent="0.15">
      <c r="A47" s="16"/>
      <c r="B47" s="16"/>
      <c r="C47" s="16"/>
      <c r="D47" s="16"/>
      <c r="E47" s="16"/>
      <c r="F47" s="16"/>
      <c r="G47" s="16"/>
      <c r="H47" s="16"/>
      <c r="I47" s="16"/>
      <c r="J47" s="16"/>
      <c r="K47" s="16"/>
      <c r="L47" s="16"/>
      <c r="M47" s="16"/>
      <c r="N47" s="16"/>
      <c r="O47" s="16"/>
    </row>
    <row r="48" spans="1:15" x14ac:dyDescent="0.15">
      <c r="A48" s="16"/>
      <c r="B48" s="16"/>
      <c r="C48" s="16"/>
      <c r="D48" s="16"/>
      <c r="E48" s="16"/>
      <c r="F48" s="16"/>
      <c r="G48" s="16"/>
      <c r="H48" s="16"/>
      <c r="I48" s="16"/>
      <c r="J48" s="16"/>
      <c r="K48" s="16"/>
      <c r="L48" s="16"/>
      <c r="M48" s="16"/>
      <c r="N48" s="16"/>
      <c r="O48" s="16"/>
    </row>
    <row r="49" spans="1:15" x14ac:dyDescent="0.15">
      <c r="A49" s="16"/>
      <c r="B49" s="16"/>
      <c r="C49" s="16"/>
      <c r="D49" s="16"/>
      <c r="E49" s="16"/>
      <c r="F49" s="16"/>
      <c r="G49" s="16"/>
      <c r="H49" s="16"/>
      <c r="I49" s="16"/>
      <c r="J49" s="16"/>
      <c r="K49" s="16"/>
      <c r="L49" s="16"/>
      <c r="M49" s="16"/>
      <c r="N49" s="16"/>
      <c r="O49" s="16"/>
    </row>
    <row r="50" spans="1:15" x14ac:dyDescent="0.15">
      <c r="A50" s="16"/>
      <c r="B50" s="16"/>
      <c r="C50" s="16"/>
      <c r="D50" s="16"/>
      <c r="E50" s="16"/>
      <c r="F50" s="16"/>
      <c r="G50" s="16"/>
      <c r="H50" s="16"/>
      <c r="I50" s="16"/>
      <c r="J50" s="16"/>
      <c r="K50" s="16"/>
      <c r="L50" s="16"/>
      <c r="M50" s="16"/>
      <c r="N50" s="16"/>
      <c r="O50" s="16"/>
    </row>
  </sheetData>
  <sheetProtection algorithmName="SHA-512" hashValue="Bwf0Ojzh6DxwX/ghL6RcR02EYFmWwaYdUdZPOqsEdF52KFwIsSBADSn0miz8iWY7m751OMiuKf5Z9mj9d0iRvQ==" saltValue="+Wgrze0YzrrAs/wuy3HW+w==" spinCount="100000" sheet="1" objects="1" scenarios="1"/>
  <mergeCells count="4">
    <mergeCell ref="E2:J3"/>
    <mergeCell ref="B29:I29"/>
    <mergeCell ref="B30:I30"/>
    <mergeCell ref="B31:I31"/>
  </mergeCells>
  <conditionalFormatting sqref="R5:R26">
    <cfRule type="containsText" dxfId="83" priority="1" stopIfTrue="1" operator="containsText" text="Steigerkosten eintragen">
      <formula>NOT(ISERROR(SEARCH("Steigerkosten eintragen",R5)))</formula>
    </cfRule>
    <cfRule type="containsText" dxfId="82" priority="2" stopIfTrue="1" operator="containsText" text="SVS prüfen">
      <formula>NOT(ISERROR(SEARCH("SVS prüfen",R5)))</formula>
    </cfRule>
    <cfRule type="containsText" dxfId="81" priority="3" stopIfTrue="1" operator="containsText" text="Leistungswert eintragen">
      <formula>NOT(ISERROR(SEARCH("Leistungswert eintragen",R5)))</formula>
    </cfRule>
    <cfRule type="containsText" dxfId="80" priority="4" stopIfTrue="1" operator="containsText" text="Steigerkosten eintragen">
      <formula>NOT(ISERROR(SEARCH("Steigerkosten eintragen",R5)))</formula>
    </cfRule>
    <cfRule type="containsText" dxfId="79" priority="5" stopIfTrue="1" operator="containsText" text="SVS prüfen">
      <formula>NOT(ISERROR(SEARCH("SVS prüfen",R5)))</formula>
    </cfRule>
    <cfRule type="containsText" dxfId="78" priority="6" stopIfTrue="1" operator="containsText" text="Leistungswert eintragen">
      <formula>NOT(ISERROR(SEARCH("Leistungswert eintragen",R5)))</formula>
    </cfRule>
    <cfRule type="containsText" dxfId="77" priority="7" stopIfTrue="1" operator="containsText" text="Steigerkosten eintragen">
      <formula>NOT(ISERROR(SEARCH("Steigerkosten eintragen",R5)))</formula>
    </cfRule>
    <cfRule type="containsText" dxfId="76" priority="8" stopIfTrue="1" operator="containsText" text="SVS prüfen">
      <formula>NOT(ISERROR(SEARCH("SVS prüfen",R5)))</formula>
    </cfRule>
    <cfRule type="containsText" dxfId="75" priority="9" stopIfTrue="1" operator="containsText" text="Leistungswert eintragen">
      <formula>NOT(ISERROR(SEARCH("Leistungswert eintragen",R5)))</formula>
    </cfRule>
    <cfRule type="containsText" dxfId="74" priority="10" stopIfTrue="1" operator="containsText" text="Steigerkosten eintragen">
      <formula>NOT(ISERROR(SEARCH("Steigerkosten eintragen",R5)))</formula>
    </cfRule>
    <cfRule type="containsText" dxfId="73" priority="11" stopIfTrue="1" operator="containsText" text="SVS prüfen">
      <formula>NOT(ISERROR(SEARCH("SVS prüfen",R5)))</formula>
    </cfRule>
    <cfRule type="containsText" dxfId="72" priority="12" stopIfTrue="1" operator="containsText" text="Leistungswert eintragen">
      <formula>NOT(ISERROR(SEARCH("Leistungswert eintragen",R5)))</formula>
    </cfRule>
    <cfRule type="containsText" dxfId="71" priority="13" stopIfTrue="1" operator="containsText" text="Steigerkosten eintragen">
      <formula>NOT(ISERROR(SEARCH("Steigerkosten eintragen",R5)))</formula>
    </cfRule>
    <cfRule type="containsText" dxfId="70" priority="14" stopIfTrue="1" operator="containsText" text="SVS prüfen">
      <formula>NOT(ISERROR(SEARCH("SVS prüfen",R5)))</formula>
    </cfRule>
    <cfRule type="containsText" dxfId="69" priority="15" stopIfTrue="1" operator="containsText" text="Leistungswert eintragen">
      <formula>NOT(ISERROR(SEARCH("Leistungswert eintragen",R5)))</formula>
    </cfRule>
    <cfRule type="containsText" dxfId="68" priority="16" stopIfTrue="1" operator="containsText" text="Steigerkosten eintragen">
      <formula>NOT(ISERROR(SEARCH("Steigerkosten eintragen",R5)))</formula>
    </cfRule>
    <cfRule type="containsText" dxfId="67" priority="17" stopIfTrue="1" operator="containsText" text="SVS prüfen">
      <formula>NOT(ISERROR(SEARCH("SVS prüfen",R5)))</formula>
    </cfRule>
    <cfRule type="containsText" dxfId="66" priority="18" stopIfTrue="1" operator="containsText" text="Leistungswert eintragen">
      <formula>NOT(ISERROR(SEARCH("Leistungswert eintragen",R5)))</formula>
    </cfRule>
    <cfRule type="containsText" dxfId="65" priority="19" stopIfTrue="1" operator="containsText" text="Steigerkosten eintragen">
      <formula>NOT(ISERROR(SEARCH("Steigerkosten eintragen",R5)))</formula>
    </cfRule>
    <cfRule type="containsText" dxfId="64" priority="20" stopIfTrue="1" operator="containsText" text="SVS prüfen">
      <formula>NOT(ISERROR(SEARCH("SVS prüfen",R5)))</formula>
    </cfRule>
    <cfRule type="containsText" dxfId="63" priority="21" stopIfTrue="1" operator="containsText" text="Leistungswert eintragen">
      <formula>NOT(ISERROR(SEARCH("Leistungswert eintragen",R5)))</formula>
    </cfRule>
    <cfRule type="containsText" dxfId="62" priority="22" stopIfTrue="1" operator="containsText" text="Steigerkosten eintragen">
      <formula>NOT(ISERROR(SEARCH("Steigerkosten eintragen",R5)))</formula>
    </cfRule>
    <cfRule type="containsText" dxfId="61" priority="23" stopIfTrue="1" operator="containsText" text="SVS prüfen">
      <formula>NOT(ISERROR(SEARCH("SVS prüfen",R5)))</formula>
    </cfRule>
    <cfRule type="containsText" dxfId="60" priority="24" stopIfTrue="1" operator="containsText" text="Leistungswert eintragen">
      <formula>NOT(ISERROR(SEARCH("Leistungswert eintragen",R5)))</formula>
    </cfRule>
    <cfRule type="containsText" dxfId="59" priority="25" stopIfTrue="1" operator="containsText" text="Steigerkosten eintragen">
      <formula>NOT(ISERROR(SEARCH("Steigerkosten eintragen",R5)))</formula>
    </cfRule>
    <cfRule type="containsText" dxfId="58" priority="26" stopIfTrue="1" operator="containsText" text="SVS prüfen">
      <formula>NOT(ISERROR(SEARCH("SVS prüfen",R5)))</formula>
    </cfRule>
    <cfRule type="containsText" dxfId="57" priority="27" stopIfTrue="1" operator="containsText" text="Leistungswert eintragen">
      <formula>NOT(ISERROR(SEARCH("Leistungswert eintragen",R5)))</formula>
    </cfRule>
  </conditionalFormatting>
  <hyperlinks>
    <hyperlink ref="G1" location="Inhaltsverzeichnis!A1" display="Zurück zum Inhaltsverzeichnis" xr:uid="{8E9E4CD7-FA8D-4AB5-B5B9-DC9D1F7C92A9}"/>
  </hyperlinks>
  <printOptions horizontalCentered="1"/>
  <pageMargins left="0.78740157480314965" right="0.78740157480314965" top="0.98425196850393704" bottom="0.98425196850393704" header="0.51181102362204722" footer="0.51181102362204722"/>
  <pageSetup paperSize="9" scale="58" orientation="landscape" r:id="rId1"/>
  <headerFooter alignWithMargins="0">
    <oddHeader>&amp;L&amp;F</oddHeader>
    <oddFooter>&amp;RKal Sonstiges Gesamt&amp;LStadt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3</xdr:col>
                    <xdr:colOff>0</xdr:colOff>
                    <xdr:row>1</xdr:row>
                    <xdr:rowOff>142875</xdr:rowOff>
                  </from>
                  <to>
                    <xdr:col>4</xdr:col>
                    <xdr:colOff>9525</xdr:colOff>
                    <xdr:row>2</xdr:row>
                    <xdr:rowOff>47625</xdr:rowOff>
                  </to>
                </anchor>
              </controlPr>
            </control>
          </mc:Choice>
        </mc:AlternateContent>
        <mc:AlternateContent xmlns:mc="http://schemas.openxmlformats.org/markup-compatibility/2006">
          <mc:Choice Requires="x14">
            <control shapeId="51202" r:id="rId5" name="Check Box 2">
              <controlPr defaultSize="0" autoFill="0" autoLine="0" autoPict="0" altText="Hinweis 2">
                <anchor moveWithCells="1">
                  <from>
                    <xdr:col>3</xdr:col>
                    <xdr:colOff>0</xdr:colOff>
                    <xdr:row>2</xdr:row>
                    <xdr:rowOff>66675</xdr:rowOff>
                  </from>
                  <to>
                    <xdr:col>4</xdr:col>
                    <xdr:colOff>9525</xdr:colOff>
                    <xdr:row>2</xdr:row>
                    <xdr:rowOff>295275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1D90F-FD10-4FD7-AC45-EBC34BBC79C8}">
  <sheetPr>
    <tabColor indexed="16"/>
  </sheetPr>
  <dimension ref="A1:W13"/>
  <sheetViews>
    <sheetView showGridLines="0" zoomScaleNormal="100" workbookViewId="0"/>
  </sheetViews>
  <sheetFormatPr baseColWidth="10" defaultColWidth="0" defaultRowHeight="10.5" x14ac:dyDescent="0.15"/>
  <cols>
    <col min="1" max="1" width="6.42578125" style="17" customWidth="1"/>
    <col min="2" max="2" width="32.42578125" style="17" customWidth="1"/>
    <col min="3" max="3" width="12" style="17" customWidth="1"/>
    <col min="4" max="4" width="11.140625" style="66" customWidth="1"/>
    <col min="5" max="5" width="18" style="17" customWidth="1"/>
    <col min="6" max="6" width="15.140625" style="17" customWidth="1"/>
    <col min="7" max="7" width="10.5703125" style="17" bestFit="1" customWidth="1"/>
    <col min="8" max="8" width="16.42578125" style="17" customWidth="1"/>
    <col min="9" max="9" width="12.7109375" style="17" hidden="1" customWidth="1"/>
    <col min="10" max="12" width="12.7109375" style="17" customWidth="1"/>
    <col min="13" max="13" width="21.7109375" style="17" customWidth="1"/>
    <col min="14" max="14" width="11.7109375" style="17" hidden="1" customWidth="1"/>
    <col min="15" max="15" width="5.7109375" style="17" hidden="1" customWidth="1"/>
    <col min="16" max="16" width="12.7109375" style="17" hidden="1" customWidth="1"/>
    <col min="17" max="17" width="13.28515625" style="17" hidden="1" customWidth="1"/>
    <col min="18" max="18" width="10" style="17" hidden="1" customWidth="1"/>
    <col min="19" max="19" width="11.42578125" style="17" hidden="1" customWidth="1"/>
    <col min="20" max="20" width="10.5703125" style="17" hidden="1" customWidth="1"/>
    <col min="21" max="23" width="0" style="17" hidden="1" customWidth="1"/>
    <col min="24" max="16384" width="6.42578125" style="17" hidden="1"/>
  </cols>
  <sheetData>
    <row r="1" spans="1:23" s="16" customFormat="1" ht="26.1" customHeight="1" x14ac:dyDescent="0.2">
      <c r="A1" s="16" t="s">
        <v>609</v>
      </c>
      <c r="D1" s="34"/>
      <c r="F1" s="60"/>
      <c r="G1" s="61"/>
      <c r="H1" s="61"/>
      <c r="I1" s="61"/>
      <c r="J1" s="61"/>
      <c r="K1" s="28" t="s">
        <v>100</v>
      </c>
      <c r="L1" s="61"/>
      <c r="M1" s="61"/>
      <c r="N1" s="61"/>
      <c r="O1" s="61"/>
      <c r="P1" s="61"/>
      <c r="Q1" s="61"/>
      <c r="R1" s="61"/>
      <c r="S1" s="61"/>
      <c r="T1" s="61"/>
      <c r="U1" s="61"/>
      <c r="V1" s="61"/>
      <c r="W1" s="61"/>
    </row>
    <row r="2" spans="1:23" s="16" customFormat="1" ht="26.1" customHeight="1" x14ac:dyDescent="0.2">
      <c r="A2" s="16" t="s">
        <v>105</v>
      </c>
      <c r="B2" s="18" t="str">
        <f>IF(Inhaltsverzeichnis!$C$3="", "",Inhaltsverzeichnis!$C$3)</f>
        <v/>
      </c>
      <c r="C2" s="18"/>
      <c r="D2" s="34"/>
      <c r="F2" s="29" t="b">
        <v>0</v>
      </c>
      <c r="G2" s="241" t="str">
        <f>IF(F2=TRUE,"Bitte tragen Sie Ihre Leistungswerte in die gelben Zellen direkt unter der Zelle Leistung (m²/h) ein. ",IF(F3=TRUE,
"Die rot markierten Informationen sind nur zur Unterstützung. Sie zeigen an, wenn gelbe Zellen in dieser Tabelle oder in dem Stundenverrechnungssatz (SVS UnterhaltsRG) nicht ausgefüllt sind. " &amp;
"Wenn keine rote Schrift mehr angezeigt wird, ist alles ausgefüllt.",""))</f>
        <v/>
      </c>
      <c r="H2" s="241"/>
      <c r="I2" s="241"/>
      <c r="J2" s="241"/>
      <c r="K2" s="241"/>
      <c r="L2" s="241"/>
    </row>
    <row r="3" spans="1:23" s="16" customFormat="1" ht="26.1" customHeight="1" x14ac:dyDescent="0.15">
      <c r="C3" s="18"/>
      <c r="D3" s="34"/>
      <c r="F3" s="29" t="b">
        <v>0</v>
      </c>
      <c r="G3" s="242"/>
      <c r="H3" s="242"/>
      <c r="I3" s="242"/>
      <c r="J3" s="242"/>
      <c r="K3" s="242"/>
      <c r="L3" s="242"/>
      <c r="M3" s="46">
        <f>IF(COUNTA(M5:M13)-COUNTBLANK(M5:M13)=0,"",COUNTA(M5:M13)-COUNTBLANK(M5:M13))</f>
        <v>9</v>
      </c>
    </row>
    <row r="4" spans="1:23" ht="50.1" customHeight="1" x14ac:dyDescent="0.15">
      <c r="A4" s="42" t="s">
        <v>92</v>
      </c>
      <c r="B4" s="42" t="s">
        <v>115</v>
      </c>
      <c r="C4" s="41" t="s">
        <v>116</v>
      </c>
      <c r="D4" s="41" t="s">
        <v>172</v>
      </c>
      <c r="E4" s="41" t="s">
        <v>158</v>
      </c>
      <c r="F4" s="41" t="s">
        <v>173</v>
      </c>
      <c r="G4" s="41" t="s">
        <v>610</v>
      </c>
      <c r="H4" s="41" t="s">
        <v>611</v>
      </c>
      <c r="I4" s="41" t="s">
        <v>117</v>
      </c>
      <c r="J4" s="41" t="s">
        <v>118</v>
      </c>
      <c r="K4" s="41" t="s">
        <v>119</v>
      </c>
      <c r="L4" s="41" t="s">
        <v>120</v>
      </c>
    </row>
    <row r="5" spans="1:23" ht="15" customHeight="1" x14ac:dyDescent="0.15">
      <c r="A5" s="63">
        <v>1</v>
      </c>
      <c r="B5" s="57" t="s">
        <v>244</v>
      </c>
      <c r="C5" s="57" t="s">
        <v>612</v>
      </c>
      <c r="D5" s="89">
        <v>1</v>
      </c>
      <c r="E5" s="64">
        <v>5.42</v>
      </c>
      <c r="F5" s="64">
        <v>1</v>
      </c>
      <c r="G5" s="64">
        <f>VLOOKUP(D5,Reinigungstage!$A$10:$AR$31,38,FALSE)</f>
        <v>44.73</v>
      </c>
      <c r="H5" s="64">
        <f>E5*F5*G5</f>
        <v>242.43659999999997</v>
      </c>
      <c r="I5" s="65"/>
      <c r="J5" s="65"/>
      <c r="K5" s="64">
        <f ca="1">IF('SVS UnterhaltsRG'!$H$61="",0,'SVS UnterhaltsRG'!$H$61)</f>
        <v>0</v>
      </c>
      <c r="L5" s="64">
        <f ca="1">IF(OR(J5="",K5=""),0,ROUND(H5/J5*K5,2))</f>
        <v>0</v>
      </c>
      <c r="M5" s="16" t="str">
        <f>IF(H5=0,"",IF(J5=0,"Leistungswert eintragen",IF(K5=0,"SVS prüfen","")))</f>
        <v>Leistungswert eintragen</v>
      </c>
    </row>
    <row r="6" spans="1:23" ht="15" customHeight="1" x14ac:dyDescent="0.15">
      <c r="A6" s="63">
        <v>2</v>
      </c>
      <c r="B6" s="57" t="s">
        <v>244</v>
      </c>
      <c r="C6" s="57" t="s">
        <v>612</v>
      </c>
      <c r="D6" s="63" t="s">
        <v>171</v>
      </c>
      <c r="E6" s="64">
        <v>5.42</v>
      </c>
      <c r="F6" s="64">
        <v>1</v>
      </c>
      <c r="G6" s="64">
        <f>VLOOKUP(D6,Reinigungstage!$A$10:$AR$31,41,FALSE)</f>
        <v>1</v>
      </c>
      <c r="H6" s="64">
        <f>E6*F6*G6</f>
        <v>5.42</v>
      </c>
      <c r="I6" s="65"/>
      <c r="J6" s="65"/>
      <c r="K6" s="64">
        <f ca="1">IF('SVS UnterhaltsRG'!$H$61="",0,'SVS UnterhaltsRG'!$H$61)</f>
        <v>0</v>
      </c>
      <c r="L6" s="64">
        <f t="shared" ref="L6:L13" ca="1" si="0">IF(OR(J6="",K6=""),0,ROUND(H6/J6*K6,2))</f>
        <v>0</v>
      </c>
      <c r="M6" s="16" t="str">
        <f t="shared" ref="M6:M13" si="1">IF(H6=0,"",IF(J6=0,"Leistungswert eintragen",IF(K6=0,"SVS prüfen","")))</f>
        <v>Leistungswert eintragen</v>
      </c>
    </row>
    <row r="7" spans="1:23" ht="15" customHeight="1" x14ac:dyDescent="0.15">
      <c r="A7" s="63">
        <v>3</v>
      </c>
      <c r="B7" s="57" t="s">
        <v>259</v>
      </c>
      <c r="C7" s="57" t="s">
        <v>612</v>
      </c>
      <c r="D7" s="89">
        <v>1</v>
      </c>
      <c r="E7" s="64">
        <v>2.08</v>
      </c>
      <c r="F7" s="64">
        <v>1</v>
      </c>
      <c r="G7" s="64">
        <f>VLOOKUP(D7,Reinigungstage!$A$10:$AR$31,39,FALSE)</f>
        <v>52.62</v>
      </c>
      <c r="H7" s="64">
        <f t="shared" ref="H7:H13" si="2">E7*F7*G7</f>
        <v>109.4496</v>
      </c>
      <c r="I7" s="65"/>
      <c r="J7" s="65"/>
      <c r="K7" s="64">
        <f ca="1">IF('SVS UnterhaltsRG'!$H$61="",0,'SVS UnterhaltsRG'!$H$61)</f>
        <v>0</v>
      </c>
      <c r="L7" s="64">
        <f t="shared" ca="1" si="0"/>
        <v>0</v>
      </c>
      <c r="M7" s="16" t="str">
        <f t="shared" si="1"/>
        <v>Leistungswert eintragen</v>
      </c>
    </row>
    <row r="8" spans="1:23" ht="15" customHeight="1" x14ac:dyDescent="0.15">
      <c r="A8" s="63">
        <v>4</v>
      </c>
      <c r="B8" s="57" t="s">
        <v>259</v>
      </c>
      <c r="C8" s="57" t="s">
        <v>631</v>
      </c>
      <c r="D8" s="89">
        <v>1</v>
      </c>
      <c r="E8" s="64">
        <v>1.08</v>
      </c>
      <c r="F8" s="64">
        <v>1</v>
      </c>
      <c r="G8" s="64">
        <f>VLOOKUP(D8,Reinigungstage!$A$10:$AR$31,39,FALSE)</f>
        <v>52.62</v>
      </c>
      <c r="H8" s="64">
        <f t="shared" si="2"/>
        <v>56.829599999999999</v>
      </c>
      <c r="I8" s="65"/>
      <c r="J8" s="65"/>
      <c r="K8" s="64">
        <f ca="1">IF('SVS UnterhaltsRG'!$H$61="",0,'SVS UnterhaltsRG'!$H$61)</f>
        <v>0</v>
      </c>
      <c r="L8" s="64">
        <f t="shared" ca="1" si="0"/>
        <v>0</v>
      </c>
      <c r="M8" s="16" t="str">
        <f t="shared" si="1"/>
        <v>Leistungswert eintragen</v>
      </c>
    </row>
    <row r="9" spans="1:23" ht="15" customHeight="1" x14ac:dyDescent="0.15">
      <c r="A9" s="63">
        <v>5</v>
      </c>
      <c r="B9" s="57" t="s">
        <v>259</v>
      </c>
      <c r="C9" s="57" t="s">
        <v>612</v>
      </c>
      <c r="D9" s="63" t="s">
        <v>171</v>
      </c>
      <c r="E9" s="64">
        <v>2.08</v>
      </c>
      <c r="F9" s="64">
        <v>1</v>
      </c>
      <c r="G9" s="64">
        <f>VLOOKUP(D9,Reinigungstage!$A$10:$AR$31,42,FALSE)</f>
        <v>1</v>
      </c>
      <c r="H9" s="64">
        <f t="shared" si="2"/>
        <v>2.08</v>
      </c>
      <c r="I9" s="65"/>
      <c r="J9" s="65"/>
      <c r="K9" s="64">
        <f ca="1">IF('SVS UnterhaltsRG'!$H$61="",0,'SVS UnterhaltsRG'!$H$61)</f>
        <v>0</v>
      </c>
      <c r="L9" s="64">
        <f t="shared" ca="1" si="0"/>
        <v>0</v>
      </c>
      <c r="M9" s="16" t="str">
        <f t="shared" si="1"/>
        <v>Leistungswert eintragen</v>
      </c>
    </row>
    <row r="10" spans="1:23" ht="15" customHeight="1" x14ac:dyDescent="0.15">
      <c r="A10" s="63">
        <v>6</v>
      </c>
      <c r="B10" s="57" t="s">
        <v>259</v>
      </c>
      <c r="C10" s="57" t="s">
        <v>631</v>
      </c>
      <c r="D10" s="63" t="s">
        <v>171</v>
      </c>
      <c r="E10" s="64">
        <v>1.08</v>
      </c>
      <c r="F10" s="64">
        <v>1</v>
      </c>
      <c r="G10" s="64">
        <f>VLOOKUP(D10,Reinigungstage!$A$10:$AR$31,42,FALSE)</f>
        <v>1</v>
      </c>
      <c r="H10" s="64">
        <f t="shared" si="2"/>
        <v>1.08</v>
      </c>
      <c r="I10" s="65"/>
      <c r="J10" s="65"/>
      <c r="K10" s="64">
        <f ca="1">IF('SVS UnterhaltsRG'!$H$61="",0,'SVS UnterhaltsRG'!$H$61)</f>
        <v>0</v>
      </c>
      <c r="L10" s="64">
        <f t="shared" ca="1" si="0"/>
        <v>0</v>
      </c>
      <c r="M10" s="16" t="str">
        <f t="shared" si="1"/>
        <v>Leistungswert eintragen</v>
      </c>
    </row>
    <row r="11" spans="1:23" ht="15" customHeight="1" x14ac:dyDescent="0.15">
      <c r="A11" s="63">
        <v>7</v>
      </c>
      <c r="B11" s="57" t="s">
        <v>261</v>
      </c>
      <c r="C11" s="57" t="s">
        <v>612</v>
      </c>
      <c r="D11" s="89">
        <v>1</v>
      </c>
      <c r="E11" s="64">
        <v>54.16</v>
      </c>
      <c r="F11" s="64">
        <v>1</v>
      </c>
      <c r="G11" s="64">
        <f>VLOOKUP(D11,Reinigungstage!$A$10:$AR$31,40,FALSE)</f>
        <v>52.62</v>
      </c>
      <c r="H11" s="64">
        <f t="shared" si="2"/>
        <v>2849.8991999999998</v>
      </c>
      <c r="I11" s="65"/>
      <c r="J11" s="65"/>
      <c r="K11" s="64">
        <f ca="1">IF('SVS UnterhaltsRG'!$H$61="",0,'SVS UnterhaltsRG'!$H$61)</f>
        <v>0</v>
      </c>
      <c r="L11" s="64">
        <f t="shared" ca="1" si="0"/>
        <v>0</v>
      </c>
      <c r="M11" s="16" t="str">
        <f t="shared" si="1"/>
        <v>Leistungswert eintragen</v>
      </c>
    </row>
    <row r="12" spans="1:23" ht="15" customHeight="1" x14ac:dyDescent="0.15">
      <c r="A12" s="63">
        <v>8</v>
      </c>
      <c r="B12" s="57" t="s">
        <v>261</v>
      </c>
      <c r="C12" s="57" t="s">
        <v>612</v>
      </c>
      <c r="D12" s="63" t="s">
        <v>171</v>
      </c>
      <c r="E12" s="64">
        <v>54.16</v>
      </c>
      <c r="F12" s="64">
        <v>1</v>
      </c>
      <c r="G12" s="64">
        <f>VLOOKUP(D12,Reinigungstage!$A$10:$AR$31,43,FALSE)</f>
        <v>1</v>
      </c>
      <c r="H12" s="64">
        <f t="shared" si="2"/>
        <v>54.16</v>
      </c>
      <c r="I12" s="65"/>
      <c r="J12" s="65"/>
      <c r="K12" s="64">
        <f ca="1">IF('SVS UnterhaltsRG'!$H$61="",0,'SVS UnterhaltsRG'!$H$61)</f>
        <v>0</v>
      </c>
      <c r="L12" s="64">
        <f t="shared" ca="1" si="0"/>
        <v>0</v>
      </c>
      <c r="M12" s="16" t="str">
        <f t="shared" si="1"/>
        <v>Leistungswert eintragen</v>
      </c>
    </row>
    <row r="13" spans="1:23" ht="15" customHeight="1" x14ac:dyDescent="0.15">
      <c r="A13" s="63">
        <v>9</v>
      </c>
      <c r="B13" s="51" t="s">
        <v>272</v>
      </c>
      <c r="C13" s="57" t="s">
        <v>612</v>
      </c>
      <c r="D13" s="63" t="s">
        <v>171</v>
      </c>
      <c r="E13" s="64">
        <v>7</v>
      </c>
      <c r="F13" s="64">
        <v>1</v>
      </c>
      <c r="G13" s="64">
        <f>VLOOKUP(D13,Reinigungstage!$A$10:$AR$31,44,FALSE)</f>
        <v>1</v>
      </c>
      <c r="H13" s="64">
        <f t="shared" si="2"/>
        <v>7</v>
      </c>
      <c r="I13" s="65"/>
      <c r="J13" s="65"/>
      <c r="K13" s="64">
        <f ca="1">IF('SVS UnterhaltsRG'!$H$61="",0,'SVS UnterhaltsRG'!$H$61)</f>
        <v>0</v>
      </c>
      <c r="L13" s="64">
        <f t="shared" ca="1" si="0"/>
        <v>0</v>
      </c>
      <c r="M13" s="16" t="str">
        <f t="shared" si="1"/>
        <v>Leistungswert eintragen</v>
      </c>
    </row>
  </sheetData>
  <sheetProtection algorithmName="SHA-512" hashValue="CTQIJ2HIlU/F+j1W92/wFwevoDv0frCZj0ifLfAwwTFGHi0Iuhns+D0Q4XpaXPqQQYfGiSlwoKpD6K3kGojmGg==" saltValue="PP9jKAw/jeQ6pbXGr3iwtA==" spinCount="100000" sheet="1" objects="1" scenarios="1"/>
  <mergeCells count="1">
    <mergeCell ref="G2:L3"/>
  </mergeCells>
  <conditionalFormatting sqref="M5:M13">
    <cfRule type="containsText" dxfId="56" priority="1" stopIfTrue="1" operator="containsText" text="Steigerkosten eintragen">
      <formula>NOT(ISERROR(SEARCH("Steigerkosten eintragen",M5)))</formula>
    </cfRule>
    <cfRule type="containsText" dxfId="55" priority="2" stopIfTrue="1" operator="containsText" text="SVS prüfen">
      <formula>NOT(ISERROR(SEARCH("SVS prüfen",M5)))</formula>
    </cfRule>
    <cfRule type="containsText" dxfId="54" priority="3" stopIfTrue="1" operator="containsText" text="Leistungswert eintragen">
      <formula>NOT(ISERROR(SEARCH("Leistungswert eintragen",M5)))</formula>
    </cfRule>
    <cfRule type="containsText" dxfId="53" priority="4" stopIfTrue="1" operator="containsText" text="Steigerkosten eintragen">
      <formula>NOT(ISERROR(SEARCH("Steigerkosten eintragen",M5)))</formula>
    </cfRule>
    <cfRule type="containsText" dxfId="52" priority="5" stopIfTrue="1" operator="containsText" text="SVS prüfen">
      <formula>NOT(ISERROR(SEARCH("SVS prüfen",M5)))</formula>
    </cfRule>
    <cfRule type="containsText" dxfId="51" priority="6" stopIfTrue="1" operator="containsText" text="Leistungswert eintragen">
      <formula>NOT(ISERROR(SEARCH("Leistungswert eintragen",M5)))</formula>
    </cfRule>
    <cfRule type="containsText" dxfId="50" priority="7" stopIfTrue="1" operator="containsText" text="Steigerkosten eintragen">
      <formula>NOT(ISERROR(SEARCH("Steigerkosten eintragen",M5)))</formula>
    </cfRule>
    <cfRule type="containsText" dxfId="49" priority="8" stopIfTrue="1" operator="containsText" text="SVS prüfen">
      <formula>NOT(ISERROR(SEARCH("SVS prüfen",M5)))</formula>
    </cfRule>
    <cfRule type="containsText" dxfId="48" priority="9" stopIfTrue="1" operator="containsText" text="Leistungswert eintragen">
      <formula>NOT(ISERROR(SEARCH("Leistungswert eintragen",M5)))</formula>
    </cfRule>
    <cfRule type="containsText" dxfId="47" priority="10" stopIfTrue="1" operator="containsText" text="Steigerkosten eintragen">
      <formula>NOT(ISERROR(SEARCH("Steigerkosten eintragen",M5)))</formula>
    </cfRule>
    <cfRule type="containsText" dxfId="46" priority="11" stopIfTrue="1" operator="containsText" text="SVS prüfen">
      <formula>NOT(ISERROR(SEARCH("SVS prüfen",M5)))</formula>
    </cfRule>
    <cfRule type="containsText" dxfId="45" priority="12" stopIfTrue="1" operator="containsText" text="Leistungswert eintragen">
      <formula>NOT(ISERROR(SEARCH("Leistungswert eintragen",M5)))</formula>
    </cfRule>
  </conditionalFormatting>
  <hyperlinks>
    <hyperlink ref="K1" location="'Inhaltsverzeichnis'!$A$1" display="Zurück zum Inhaltsverzeichnis" xr:uid="{058EE72E-1FDB-4CB7-9317-A9CA81DDE545}"/>
  </hyperlinks>
  <printOptions horizontalCentered="1"/>
  <pageMargins left="0.78740157480314965" right="0.78740157480314965" top="0.98425196850393704" bottom="0.98425196850393704" header="0.51181102362204722" footer="0.51181102362204722"/>
  <pageSetup paperSize="9" scale="60" firstPageNumber="4" fitToWidth="0" fitToHeight="0" orientation="landscape" r:id="rId1"/>
  <headerFooter alignWithMargins="0">
    <oddHeader>&amp;L&amp;F</oddHeader>
    <oddFooter>&amp;LStadt Harzgerode&amp;CSeite &amp;P von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7217" r:id="rId4" name="Check Box 1">
              <controlPr defaultSize="0" autoFill="0" autoLine="0" autoPict="0">
                <anchor moveWithCells="1">
                  <from>
                    <xdr:col>5</xdr:col>
                    <xdr:colOff>76200</xdr:colOff>
                    <xdr:row>1</xdr:row>
                    <xdr:rowOff>38100</xdr:rowOff>
                  </from>
                  <to>
                    <xdr:col>5</xdr:col>
                    <xdr:colOff>838200</xdr:colOff>
                    <xdr:row>1</xdr:row>
                    <xdr:rowOff>266700</xdr:rowOff>
                  </to>
                </anchor>
              </controlPr>
            </control>
          </mc:Choice>
        </mc:AlternateContent>
        <mc:AlternateContent xmlns:mc="http://schemas.openxmlformats.org/markup-compatibility/2006">
          <mc:Choice Requires="x14">
            <control shapeId="137218" r:id="rId5" name="Check Box 2">
              <controlPr defaultSize="0" autoFill="0" autoLine="0" autoPict="0" altText="Hinweis 2">
                <anchor moveWithCells="1">
                  <from>
                    <xdr:col>5</xdr:col>
                    <xdr:colOff>76200</xdr:colOff>
                    <xdr:row>2</xdr:row>
                    <xdr:rowOff>38100</xdr:rowOff>
                  </from>
                  <to>
                    <xdr:col>5</xdr:col>
                    <xdr:colOff>838200</xdr:colOff>
                    <xdr:row>2</xdr:row>
                    <xdr:rowOff>266700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8978D-E71D-431B-A779-7B2EC7149898}">
  <sheetPr>
    <tabColor rgb="FF800000"/>
  </sheetPr>
  <dimension ref="A1:L21"/>
  <sheetViews>
    <sheetView showGridLines="0" zoomScaleNormal="100" workbookViewId="0"/>
  </sheetViews>
  <sheetFormatPr baseColWidth="10" defaultColWidth="0" defaultRowHeight="10.5" x14ac:dyDescent="0.2"/>
  <cols>
    <col min="1" max="1" width="7.140625" style="188" customWidth="1"/>
    <col min="2" max="2" width="41.7109375" style="188" customWidth="1"/>
    <col min="3" max="3" width="15.5703125" style="188" customWidth="1"/>
    <col min="4" max="4" width="11.42578125" style="188" customWidth="1"/>
    <col min="5" max="5" width="12.85546875" style="188" customWidth="1"/>
    <col min="6" max="6" width="12.28515625" style="188" customWidth="1"/>
    <col min="7" max="7" width="13.42578125" style="188" customWidth="1"/>
    <col min="8" max="8" width="18.140625" style="188" customWidth="1"/>
    <col min="9" max="10" width="11.42578125" style="188" customWidth="1"/>
    <col min="11" max="11" width="21.7109375" style="188" customWidth="1"/>
    <col min="12" max="16384" width="11.42578125" style="188" hidden="1"/>
  </cols>
  <sheetData>
    <row r="1" spans="1:11" ht="26.1" customHeight="1" x14ac:dyDescent="0.2">
      <c r="A1" s="16" t="s">
        <v>613</v>
      </c>
      <c r="B1" s="16"/>
      <c r="C1" s="67"/>
      <c r="E1" s="67"/>
      <c r="G1" s="67"/>
      <c r="H1" s="67"/>
      <c r="I1" s="28" t="s">
        <v>100</v>
      </c>
    </row>
    <row r="2" spans="1:11" ht="26.1" customHeight="1" x14ac:dyDescent="0.2">
      <c r="A2" s="16" t="s">
        <v>105</v>
      </c>
      <c r="B2" s="18" t="str">
        <f>IF(Inhaltsverzeichnis!$C$3="", "",Inhaltsverzeichnis!$C$3)</f>
        <v/>
      </c>
      <c r="C2" s="29" t="b">
        <v>0</v>
      </c>
      <c r="D2" s="249" t="str">
        <f>IF(C2=TRUE,"Bitte tragen Sie Ihre Leistungswerte in die gelben Zellen direkt unter der Zelle Leistung (m²/h) ein. " &amp; "
Die Steigerkosten sind pro Objekt in der Spalte SteigerKosten (€) einzutragen. Wenn keine Kosten dafür anfallen, bitte eine 0 eintragen.",IF(C3=TRUE,
"Die rot markierten Informationen sind nur zur Unterstützung. Sie zeigen an, wenn gelbe Zellen in dieser Tabelle oder in dem Stundenverrechnungssatz (SVS Regiestunden Prallschutz) nicht ausgefüllt sind. " &amp;
"Wenn keine rote Schrift mehr angezeigt wird, ist alles ausgefüllt.",""))</f>
        <v/>
      </c>
      <c r="E2" s="249"/>
      <c r="F2" s="249"/>
      <c r="G2" s="249"/>
      <c r="H2" s="249"/>
      <c r="I2" s="35"/>
    </row>
    <row r="3" spans="1:11" ht="26.1" customHeight="1" x14ac:dyDescent="0.2">
      <c r="A3" s="67"/>
      <c r="B3" s="67"/>
      <c r="C3" s="68" t="b">
        <v>0</v>
      </c>
      <c r="D3" s="250"/>
      <c r="E3" s="250"/>
      <c r="F3" s="250"/>
      <c r="G3" s="250"/>
      <c r="H3" s="250"/>
      <c r="I3" s="35"/>
      <c r="K3" s="62">
        <f>IF(COUNTA($K$5:$K$5)-COUNTBLANK($K$5:$K$5)=0,"",COUNTA($K$5:$K$5)-COUNTBLANK($K$5:$K$5))</f>
        <v>1</v>
      </c>
    </row>
    <row r="4" spans="1:11" ht="50.1" customHeight="1" x14ac:dyDescent="0.2">
      <c r="A4" s="42" t="s">
        <v>92</v>
      </c>
      <c r="B4" s="69" t="s">
        <v>115</v>
      </c>
      <c r="C4" s="41" t="s">
        <v>240</v>
      </c>
      <c r="D4" s="41" t="s">
        <v>172</v>
      </c>
      <c r="E4" s="41" t="s">
        <v>207</v>
      </c>
      <c r="F4" s="70" t="s">
        <v>614</v>
      </c>
      <c r="G4" s="70" t="s">
        <v>615</v>
      </c>
      <c r="H4" s="70" t="s">
        <v>118</v>
      </c>
      <c r="I4" s="70" t="s">
        <v>119</v>
      </c>
      <c r="J4" s="70" t="s">
        <v>616</v>
      </c>
      <c r="K4" s="16"/>
    </row>
    <row r="5" spans="1:11" ht="45" customHeight="1" x14ac:dyDescent="0.2">
      <c r="A5" s="189">
        <v>1</v>
      </c>
      <c r="B5" s="71" t="s">
        <v>244</v>
      </c>
      <c r="C5" s="72" t="s">
        <v>617</v>
      </c>
      <c r="D5" s="189" t="s">
        <v>171</v>
      </c>
      <c r="E5" s="190">
        <v>1</v>
      </c>
      <c r="F5" s="58">
        <v>110</v>
      </c>
      <c r="G5" s="73"/>
      <c r="H5" s="73"/>
      <c r="I5" s="58">
        <f ca="1">IF('SVS Regiestunden Prallschutz'!$H$61="",0,'SVS Regiestunden Prallschutz'!$H$61)</f>
        <v>0</v>
      </c>
      <c r="J5" s="59">
        <f>IF(G5="",0,IF(H5="",0,ROUND((F5/H5*I5)+G5,2)))</f>
        <v>0</v>
      </c>
      <c r="K5" s="16" t="str">
        <f>IF(F5=0,"",IF(G5="","Steigerkosten eintragen",IF(H5="","Leistungswert eintragen",IF(I5=0,"SVS prüfen",""))))</f>
        <v>Steigerkosten eintragen</v>
      </c>
    </row>
    <row r="6" spans="1:11" ht="10.5" customHeight="1" x14ac:dyDescent="0.2">
      <c r="B6" s="67"/>
      <c r="C6" s="74"/>
      <c r="D6" s="74"/>
      <c r="E6" s="74"/>
      <c r="F6" s="74"/>
      <c r="G6" s="74"/>
      <c r="H6" s="67"/>
      <c r="I6" s="67"/>
    </row>
    <row r="7" spans="1:11" x14ac:dyDescent="0.2">
      <c r="C7" s="18" t="s">
        <v>618</v>
      </c>
    </row>
    <row r="8" spans="1:11" x14ac:dyDescent="0.2">
      <c r="C8" s="18" t="s">
        <v>619</v>
      </c>
    </row>
    <row r="9" spans="1:11" x14ac:dyDescent="0.2">
      <c r="C9" s="18" t="s">
        <v>620</v>
      </c>
    </row>
    <row r="11" spans="1:11" x14ac:dyDescent="0.2">
      <c r="C11" s="75" t="s">
        <v>621</v>
      </c>
    </row>
    <row r="21" spans="12:12" x14ac:dyDescent="0.2">
      <c r="L21" s="76"/>
    </row>
  </sheetData>
  <sheetProtection algorithmName="SHA-512" hashValue="Tks86sCvoLie1RBjHdjJniw0QRxl3lVEvjFTzt81TsjWO1VseopIP+LPagOREgri+H6eAQEwbCOUtl18CQnzdA==" saltValue="bxZTDwbYk5OiSA2KJa3cDg==" spinCount="100000" sheet="1" objects="1" scenarios="1"/>
  <mergeCells count="1">
    <mergeCell ref="D2:H3"/>
  </mergeCells>
  <conditionalFormatting sqref="K5">
    <cfRule type="containsText" dxfId="44" priority="1" stopIfTrue="1" operator="containsText" text="Steigerkosten eintragen">
      <formula>NOT(ISERROR(SEARCH("Steigerkosten eintragen",K5)))</formula>
    </cfRule>
    <cfRule type="containsText" dxfId="43" priority="2" stopIfTrue="1" operator="containsText" text="SVS prüfen">
      <formula>NOT(ISERROR(SEARCH("SVS prüfen",K5)))</formula>
    </cfRule>
    <cfRule type="containsText" dxfId="42" priority="3" stopIfTrue="1" operator="containsText" text="Leistungswert eintragen">
      <formula>NOT(ISERROR(SEARCH("Leistungswert eintragen",K5)))</formula>
    </cfRule>
    <cfRule type="containsText" dxfId="41" priority="4" stopIfTrue="1" operator="containsText" text="Steigerkosten eintragen">
      <formula>NOT(ISERROR(SEARCH("Steigerkosten eintragen",K5)))</formula>
    </cfRule>
    <cfRule type="containsText" dxfId="40" priority="5" stopIfTrue="1" operator="containsText" text="SVS prüfen">
      <formula>NOT(ISERROR(SEARCH("SVS prüfen",K5)))</formula>
    </cfRule>
    <cfRule type="containsText" dxfId="39" priority="6" stopIfTrue="1" operator="containsText" text="Leistungswert eintragen">
      <formula>NOT(ISERROR(SEARCH("Leistungswert eintragen",K5)))</formula>
    </cfRule>
    <cfRule type="containsText" dxfId="38" priority="7" stopIfTrue="1" operator="containsText" text="Steigerkosten eintragen">
      <formula>NOT(ISERROR(SEARCH("Steigerkosten eintragen",K5)))</formula>
    </cfRule>
    <cfRule type="containsText" dxfId="37" priority="8" stopIfTrue="1" operator="containsText" text="SVS prüfen">
      <formula>NOT(ISERROR(SEARCH("SVS prüfen",K5)))</formula>
    </cfRule>
    <cfRule type="containsText" dxfId="36" priority="9" stopIfTrue="1" operator="containsText" text="Leistungswert eintragen">
      <formula>NOT(ISERROR(SEARCH("Leistungswert eintragen",K5)))</formula>
    </cfRule>
    <cfRule type="containsText" dxfId="35" priority="10" stopIfTrue="1" operator="containsText" text="Steigerkosten eintragen">
      <formula>NOT(ISERROR(SEARCH("Steigerkosten eintragen",K5)))</formula>
    </cfRule>
    <cfRule type="containsText" dxfId="34" priority="11" stopIfTrue="1" operator="containsText" text="SVS prüfen">
      <formula>NOT(ISERROR(SEARCH("SVS prüfen",K5)))</formula>
    </cfRule>
    <cfRule type="containsText" dxfId="33" priority="12" stopIfTrue="1" operator="containsText" text="Leistungswert eintragen">
      <formula>NOT(ISERROR(SEARCH("Leistungswert eintragen",K5)))</formula>
    </cfRule>
    <cfRule type="containsText" dxfId="32" priority="13" stopIfTrue="1" operator="containsText" text="Steigerkosten eintragen">
      <formula>NOT(ISERROR(SEARCH("Steigerkosten eintragen",K5)))</formula>
    </cfRule>
    <cfRule type="containsText" dxfId="31" priority="14" stopIfTrue="1" operator="containsText" text="SVS prüfen">
      <formula>NOT(ISERROR(SEARCH("SVS prüfen",K5)))</formula>
    </cfRule>
    <cfRule type="containsText" dxfId="30" priority="15" stopIfTrue="1" operator="containsText" text="Leistungswert eintragen">
      <formula>NOT(ISERROR(SEARCH("Leistungswert eintragen",K5)))</formula>
    </cfRule>
  </conditionalFormatting>
  <hyperlinks>
    <hyperlink ref="I1" location="Inhaltsverzeichnis!A1" display="Zurück zum Inhaltsverzeichnis" xr:uid="{1387F331-ABFB-49DB-BFD1-77B983906563}"/>
  </hyperlinks>
  <printOptions horizontalCentered="1"/>
  <pageMargins left="0.78740157480314965" right="0.78740157480314965" top="0.98425196850393704" bottom="0.98425196850393704" header="0.51181102362204722" footer="0.51181102362204722"/>
  <pageSetup paperSize="9" scale="60" firstPageNumber="128" orientation="landscape" r:id="rId1"/>
  <headerFooter alignWithMargins="0">
    <oddHeader>&amp;L&amp;F</oddHeader>
    <oddFooter>&amp;LStadt Harzgerode&amp;CSeite &amp;P von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8241" r:id="rId4" name="Check Box 1">
              <controlPr defaultSize="0" autoFill="0" autoLine="0" autoPict="0">
                <anchor moveWithCells="1">
                  <from>
                    <xdr:col>2</xdr:col>
                    <xdr:colOff>180975</xdr:colOff>
                    <xdr:row>1</xdr:row>
                    <xdr:rowOff>19050</xdr:rowOff>
                  </from>
                  <to>
                    <xdr:col>2</xdr:col>
                    <xdr:colOff>942975</xdr:colOff>
                    <xdr:row>1</xdr:row>
                    <xdr:rowOff>266700</xdr:rowOff>
                  </to>
                </anchor>
              </controlPr>
            </control>
          </mc:Choice>
        </mc:AlternateContent>
        <mc:AlternateContent xmlns:mc="http://schemas.openxmlformats.org/markup-compatibility/2006">
          <mc:Choice Requires="x14">
            <control shapeId="138242" r:id="rId5" name="Check Box 2">
              <controlPr defaultSize="0" autoFill="0" autoLine="0" autoPict="0" altText="Hinweis 2">
                <anchor moveWithCells="1">
                  <from>
                    <xdr:col>2</xdr:col>
                    <xdr:colOff>180975</xdr:colOff>
                    <xdr:row>2</xdr:row>
                    <xdr:rowOff>19050</xdr:rowOff>
                  </from>
                  <to>
                    <xdr:col>2</xdr:col>
                    <xdr:colOff>942975</xdr:colOff>
                    <xdr:row>2</xdr:row>
                    <xdr:rowOff>266700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3D9E5-2B2A-4269-9666-B435FDBFD4E5}">
  <sheetPr>
    <tabColor rgb="FF800000"/>
  </sheetPr>
  <dimension ref="A1:O43"/>
  <sheetViews>
    <sheetView showGridLines="0" zoomScaleNormal="100" workbookViewId="0">
      <pane ySplit="4" topLeftCell="A5" activePane="bottomLeft" state="frozen"/>
      <selection pane="bottomLeft"/>
    </sheetView>
  </sheetViews>
  <sheetFormatPr baseColWidth="10" defaultColWidth="0" defaultRowHeight="14.25" x14ac:dyDescent="0.2"/>
  <cols>
    <col min="1" max="1" width="6.85546875" style="78" customWidth="1"/>
    <col min="2" max="2" width="15.28515625" style="78" customWidth="1"/>
    <col min="3" max="3" width="7.7109375" style="78" customWidth="1"/>
    <col min="4" max="4" width="14" style="78" customWidth="1"/>
    <col min="5" max="5" width="22.42578125" style="78" customWidth="1"/>
    <col min="6" max="6" width="13.28515625" style="78" customWidth="1"/>
    <col min="7" max="11" width="11.42578125" style="78" customWidth="1"/>
    <col min="12" max="12" width="23.85546875" style="191" customWidth="1"/>
    <col min="13" max="15" width="0" style="78" hidden="1" customWidth="1"/>
    <col min="16" max="16384" width="11.42578125" style="78" hidden="1"/>
  </cols>
  <sheetData>
    <row r="1" spans="1:15" ht="26.1" customHeight="1" x14ac:dyDescent="0.2">
      <c r="A1" s="16" t="s">
        <v>622</v>
      </c>
      <c r="B1" s="16"/>
      <c r="C1" s="16"/>
      <c r="D1" s="16"/>
      <c r="E1" s="16"/>
      <c r="F1" s="77"/>
      <c r="H1" s="77"/>
      <c r="I1" s="77"/>
      <c r="J1" s="28" t="s">
        <v>100</v>
      </c>
      <c r="K1" s="77"/>
    </row>
    <row r="2" spans="1:15" ht="26.1" customHeight="1" x14ac:dyDescent="0.2">
      <c r="A2" s="16" t="s">
        <v>105</v>
      </c>
      <c r="B2" s="18" t="str">
        <f>IF(Inhaltsverzeichnis!$C$3="", "",Inhaltsverzeichnis!$C$3)</f>
        <v/>
      </c>
      <c r="C2" s="16"/>
      <c r="D2" s="16" t="s">
        <v>230</v>
      </c>
      <c r="E2" s="16"/>
      <c r="F2" s="29" t="b">
        <v>0</v>
      </c>
      <c r="G2" s="249" t="str">
        <f>IF(F2=TRUE,"Bitte tragen Sie Ihre Leistungswerte in die gelben Zellen direkt unter der Zelle Leistung (Spinde pro Stunde) ein. ",IF(F3=TRUE,
"Die rot markierten Informationen sind nur zur Unterstützung. Sie zeigen an, wenn gelbe Zellen in dieser Tabelle oder in dem Stundenverrechnungssatz (SVS Regiestunden Trainingslager) nicht ausgefüllt sind. " &amp;
"Wenn keine rote Schrift mehr angezeigt wird, ist alles ausgefüllt.",""))</f>
        <v/>
      </c>
      <c r="H2" s="249"/>
      <c r="I2" s="249"/>
      <c r="J2" s="249"/>
      <c r="K2" s="249"/>
    </row>
    <row r="3" spans="1:15" ht="27" customHeight="1" x14ac:dyDescent="0.2">
      <c r="A3" s="77"/>
      <c r="B3" s="77"/>
      <c r="C3" s="77"/>
      <c r="D3" s="77"/>
      <c r="E3" s="77"/>
      <c r="F3" s="68" t="b">
        <v>0</v>
      </c>
      <c r="G3" s="250"/>
      <c r="H3" s="250"/>
      <c r="I3" s="250"/>
      <c r="J3" s="250"/>
      <c r="K3" s="250"/>
      <c r="L3" s="62">
        <f>IF(COUNTA($L$5:$L$40)-COUNTBLANK($L$5:$L$40)=0,"",COUNTA($L$5:$L$40)-COUNTBLANK($L$5:$L$40))</f>
        <v>36</v>
      </c>
    </row>
    <row r="4" spans="1:15" ht="50.1" customHeight="1" x14ac:dyDescent="0.2">
      <c r="A4" s="42" t="s">
        <v>92</v>
      </c>
      <c r="B4" s="69" t="s">
        <v>115</v>
      </c>
      <c r="C4" s="69" t="s">
        <v>93</v>
      </c>
      <c r="D4" s="69" t="s">
        <v>94</v>
      </c>
      <c r="E4" s="41" t="s">
        <v>623</v>
      </c>
      <c r="F4" s="41" t="s">
        <v>95</v>
      </c>
      <c r="G4" s="70" t="s">
        <v>99</v>
      </c>
      <c r="H4" s="70" t="s">
        <v>614</v>
      </c>
      <c r="I4" s="70" t="s">
        <v>118</v>
      </c>
      <c r="J4" s="70" t="s">
        <v>119</v>
      </c>
      <c r="K4" s="70" t="s">
        <v>616</v>
      </c>
      <c r="L4" s="17"/>
      <c r="O4" s="79">
        <f>MAX(O5)</f>
        <v>0</v>
      </c>
    </row>
    <row r="5" spans="1:15" x14ac:dyDescent="0.2">
      <c r="A5" s="189">
        <v>1</v>
      </c>
      <c r="B5" s="80" t="s">
        <v>244</v>
      </c>
      <c r="C5" s="80" t="s">
        <v>276</v>
      </c>
      <c r="D5" s="80"/>
      <c r="E5" s="81" t="s">
        <v>277</v>
      </c>
      <c r="F5" s="81" t="s">
        <v>278</v>
      </c>
      <c r="G5" s="82" t="s">
        <v>311</v>
      </c>
      <c r="H5" s="81">
        <v>963</v>
      </c>
      <c r="I5" s="83"/>
      <c r="J5" s="82">
        <f ca="1">IF('SVS Regiestunden Trainingslager'!$H$61="",0,'SVS Regiestunden Trainingslager'!$H$61)</f>
        <v>0</v>
      </c>
      <c r="K5" s="81">
        <f t="shared" ref="K5:K40" si="0">IF(I5="",0,ROUND(H5/I5*J5,2))</f>
        <v>0</v>
      </c>
      <c r="L5" s="16" t="str">
        <f>IF(H5=0,"",IF(I5="","Leistungswert eintragen",IF(J5=0,"SVS prüfen","")))</f>
        <v>Leistungswert eintragen</v>
      </c>
    </row>
    <row r="6" spans="1:15" x14ac:dyDescent="0.2">
      <c r="A6" s="189">
        <v>2</v>
      </c>
      <c r="B6" s="80" t="s">
        <v>244</v>
      </c>
      <c r="C6" s="80" t="s">
        <v>276</v>
      </c>
      <c r="D6" s="80"/>
      <c r="E6" s="81" t="s">
        <v>279</v>
      </c>
      <c r="F6" s="81" t="s">
        <v>280</v>
      </c>
      <c r="G6" s="82" t="s">
        <v>312</v>
      </c>
      <c r="H6" s="81">
        <v>330</v>
      </c>
      <c r="I6" s="83"/>
      <c r="J6" s="82">
        <f ca="1">IF('SVS Regiestunden Trainingslager'!$H$61="",0,'SVS Regiestunden Trainingslager'!$H$61)</f>
        <v>0</v>
      </c>
      <c r="K6" s="81">
        <f t="shared" si="0"/>
        <v>0</v>
      </c>
      <c r="L6" s="16" t="str">
        <f t="shared" ref="L6:L40" si="1">IF(H6=0,"",IF(I6="","Leistungswert eintragen",IF(J6=0,"SVS prüfen","")))</f>
        <v>Leistungswert eintragen</v>
      </c>
    </row>
    <row r="7" spans="1:15" x14ac:dyDescent="0.2">
      <c r="A7" s="189">
        <v>3</v>
      </c>
      <c r="B7" s="80" t="s">
        <v>244</v>
      </c>
      <c r="C7" s="80" t="s">
        <v>276</v>
      </c>
      <c r="D7" s="80"/>
      <c r="E7" s="81" t="s">
        <v>281</v>
      </c>
      <c r="F7" s="81" t="s">
        <v>280</v>
      </c>
      <c r="G7" s="82" t="s">
        <v>312</v>
      </c>
      <c r="H7" s="81">
        <v>39.6</v>
      </c>
      <c r="I7" s="83"/>
      <c r="J7" s="82">
        <f ca="1">IF('SVS Regiestunden Trainingslager'!$H$61="",0,'SVS Regiestunden Trainingslager'!$H$61)</f>
        <v>0</v>
      </c>
      <c r="K7" s="81">
        <f t="shared" si="0"/>
        <v>0</v>
      </c>
      <c r="L7" s="16" t="str">
        <f t="shared" si="1"/>
        <v>Leistungswert eintragen</v>
      </c>
    </row>
    <row r="8" spans="1:15" x14ac:dyDescent="0.2">
      <c r="A8" s="189">
        <v>4</v>
      </c>
      <c r="B8" s="80" t="s">
        <v>244</v>
      </c>
      <c r="C8" s="80" t="s">
        <v>276</v>
      </c>
      <c r="D8" s="80"/>
      <c r="E8" s="81" t="s">
        <v>282</v>
      </c>
      <c r="F8" s="81" t="s">
        <v>278</v>
      </c>
      <c r="G8" s="82" t="s">
        <v>312</v>
      </c>
      <c r="H8" s="81">
        <v>38.229999999999997</v>
      </c>
      <c r="I8" s="83"/>
      <c r="J8" s="82">
        <f ca="1">IF('SVS Regiestunden Trainingslager'!$H$61="",0,'SVS Regiestunden Trainingslager'!$H$61)</f>
        <v>0</v>
      </c>
      <c r="K8" s="81">
        <f t="shared" si="0"/>
        <v>0</v>
      </c>
      <c r="L8" s="16" t="str">
        <f t="shared" si="1"/>
        <v>Leistungswert eintragen</v>
      </c>
    </row>
    <row r="9" spans="1:15" x14ac:dyDescent="0.2">
      <c r="A9" s="189">
        <v>5</v>
      </c>
      <c r="B9" s="80" t="s">
        <v>244</v>
      </c>
      <c r="C9" s="80" t="s">
        <v>276</v>
      </c>
      <c r="D9" s="80"/>
      <c r="E9" s="81" t="s">
        <v>282</v>
      </c>
      <c r="F9" s="81" t="s">
        <v>278</v>
      </c>
      <c r="G9" s="82" t="s">
        <v>312</v>
      </c>
      <c r="H9" s="81">
        <v>69.88</v>
      </c>
      <c r="I9" s="83"/>
      <c r="J9" s="82">
        <f ca="1">IF('SVS Regiestunden Trainingslager'!$H$61="",0,'SVS Regiestunden Trainingslager'!$H$61)</f>
        <v>0</v>
      </c>
      <c r="K9" s="81">
        <f t="shared" si="0"/>
        <v>0</v>
      </c>
      <c r="L9" s="16" t="str">
        <f t="shared" si="1"/>
        <v>Leistungswert eintragen</v>
      </c>
    </row>
    <row r="10" spans="1:15" x14ac:dyDescent="0.2">
      <c r="A10" s="189">
        <v>6</v>
      </c>
      <c r="B10" s="80" t="s">
        <v>244</v>
      </c>
      <c r="C10" s="80" t="s">
        <v>276</v>
      </c>
      <c r="D10" s="80"/>
      <c r="E10" s="81" t="s">
        <v>283</v>
      </c>
      <c r="F10" s="81" t="s">
        <v>284</v>
      </c>
      <c r="G10" s="82" t="s">
        <v>313</v>
      </c>
      <c r="H10" s="81">
        <v>11.75</v>
      </c>
      <c r="I10" s="83"/>
      <c r="J10" s="82">
        <f ca="1">IF('SVS Regiestunden Trainingslager'!$H$61="",0,'SVS Regiestunden Trainingslager'!$H$61)</f>
        <v>0</v>
      </c>
      <c r="K10" s="81">
        <f t="shared" si="0"/>
        <v>0</v>
      </c>
      <c r="L10" s="16" t="str">
        <f t="shared" si="1"/>
        <v>Leistungswert eintragen</v>
      </c>
    </row>
    <row r="11" spans="1:15" x14ac:dyDescent="0.2">
      <c r="A11" s="189">
        <v>7</v>
      </c>
      <c r="B11" s="80" t="s">
        <v>244</v>
      </c>
      <c r="C11" s="80" t="s">
        <v>276</v>
      </c>
      <c r="D11" s="80"/>
      <c r="E11" s="81" t="s">
        <v>286</v>
      </c>
      <c r="F11" s="81" t="s">
        <v>287</v>
      </c>
      <c r="G11" s="82" t="s">
        <v>312</v>
      </c>
      <c r="H11" s="81">
        <v>2.5</v>
      </c>
      <c r="I11" s="83"/>
      <c r="J11" s="82">
        <f ca="1">IF('SVS Regiestunden Trainingslager'!$H$61="",0,'SVS Regiestunden Trainingslager'!$H$61)</f>
        <v>0</v>
      </c>
      <c r="K11" s="81">
        <f t="shared" si="0"/>
        <v>0</v>
      </c>
      <c r="L11" s="16" t="str">
        <f t="shared" si="1"/>
        <v>Leistungswert eintragen</v>
      </c>
    </row>
    <row r="12" spans="1:15" x14ac:dyDescent="0.2">
      <c r="A12" s="189">
        <v>8</v>
      </c>
      <c r="B12" s="80" t="s">
        <v>244</v>
      </c>
      <c r="C12" s="80" t="s">
        <v>276</v>
      </c>
      <c r="D12" s="80"/>
      <c r="E12" s="81" t="s">
        <v>288</v>
      </c>
      <c r="F12" s="81" t="s">
        <v>287</v>
      </c>
      <c r="G12" s="82" t="s">
        <v>313</v>
      </c>
      <c r="H12" s="81">
        <v>40.520000000000003</v>
      </c>
      <c r="I12" s="83"/>
      <c r="J12" s="82">
        <f ca="1">IF('SVS Regiestunden Trainingslager'!$H$61="",0,'SVS Regiestunden Trainingslager'!$H$61)</f>
        <v>0</v>
      </c>
      <c r="K12" s="81">
        <f t="shared" si="0"/>
        <v>0</v>
      </c>
      <c r="L12" s="16" t="str">
        <f t="shared" si="1"/>
        <v>Leistungswert eintragen</v>
      </c>
    </row>
    <row r="13" spans="1:15" x14ac:dyDescent="0.2">
      <c r="A13" s="189">
        <v>9</v>
      </c>
      <c r="B13" s="80" t="s">
        <v>244</v>
      </c>
      <c r="C13" s="80" t="s">
        <v>276</v>
      </c>
      <c r="D13" s="80" t="s">
        <v>290</v>
      </c>
      <c r="E13" s="81" t="s">
        <v>291</v>
      </c>
      <c r="F13" s="81" t="s">
        <v>287</v>
      </c>
      <c r="G13" s="82" t="s">
        <v>291</v>
      </c>
      <c r="H13" s="81">
        <v>14.46</v>
      </c>
      <c r="I13" s="83"/>
      <c r="J13" s="82">
        <f ca="1">IF('SVS Regiestunden Trainingslager'!$H$61="",0,'SVS Regiestunden Trainingslager'!$H$61)</f>
        <v>0</v>
      </c>
      <c r="K13" s="81">
        <f t="shared" si="0"/>
        <v>0</v>
      </c>
      <c r="L13" s="16" t="str">
        <f t="shared" si="1"/>
        <v>Leistungswert eintragen</v>
      </c>
    </row>
    <row r="14" spans="1:15" x14ac:dyDescent="0.2">
      <c r="A14" s="189">
        <v>10</v>
      </c>
      <c r="B14" s="80" t="s">
        <v>244</v>
      </c>
      <c r="C14" s="80" t="s">
        <v>276</v>
      </c>
      <c r="D14" s="80" t="s">
        <v>290</v>
      </c>
      <c r="E14" s="81" t="s">
        <v>292</v>
      </c>
      <c r="F14" s="81" t="s">
        <v>293</v>
      </c>
      <c r="G14" s="82" t="s">
        <v>314</v>
      </c>
      <c r="H14" s="81">
        <v>5.4</v>
      </c>
      <c r="I14" s="83"/>
      <c r="J14" s="82">
        <f ca="1">IF('SVS Regiestunden Trainingslager'!$H$61="",0,'SVS Regiestunden Trainingslager'!$H$61)</f>
        <v>0</v>
      </c>
      <c r="K14" s="81">
        <f t="shared" si="0"/>
        <v>0</v>
      </c>
      <c r="L14" s="16" t="str">
        <f t="shared" si="1"/>
        <v>Leistungswert eintragen</v>
      </c>
    </row>
    <row r="15" spans="1:15" x14ac:dyDescent="0.2">
      <c r="A15" s="189">
        <v>11</v>
      </c>
      <c r="B15" s="80" t="s">
        <v>244</v>
      </c>
      <c r="C15" s="80" t="s">
        <v>276</v>
      </c>
      <c r="D15" s="80" t="s">
        <v>290</v>
      </c>
      <c r="E15" s="81" t="s">
        <v>294</v>
      </c>
      <c r="F15" s="81" t="s">
        <v>293</v>
      </c>
      <c r="G15" s="82" t="s">
        <v>314</v>
      </c>
      <c r="H15" s="81">
        <v>18.989999999999998</v>
      </c>
      <c r="I15" s="83"/>
      <c r="J15" s="82">
        <f ca="1">IF('SVS Regiestunden Trainingslager'!$H$61="",0,'SVS Regiestunden Trainingslager'!$H$61)</f>
        <v>0</v>
      </c>
      <c r="K15" s="81">
        <f t="shared" si="0"/>
        <v>0</v>
      </c>
      <c r="L15" s="16" t="str">
        <f t="shared" si="1"/>
        <v>Leistungswert eintragen</v>
      </c>
    </row>
    <row r="16" spans="1:15" x14ac:dyDescent="0.2">
      <c r="A16" s="189">
        <v>12</v>
      </c>
      <c r="B16" s="80" t="s">
        <v>244</v>
      </c>
      <c r="C16" s="80" t="s">
        <v>276</v>
      </c>
      <c r="D16" s="80" t="s">
        <v>290</v>
      </c>
      <c r="E16" s="81" t="s">
        <v>295</v>
      </c>
      <c r="F16" s="81" t="s">
        <v>293</v>
      </c>
      <c r="G16" s="82" t="s">
        <v>314</v>
      </c>
      <c r="H16" s="81">
        <v>1.83</v>
      </c>
      <c r="I16" s="83"/>
      <c r="J16" s="82">
        <f ca="1">IF('SVS Regiestunden Trainingslager'!$H$61="",0,'SVS Regiestunden Trainingslager'!$H$61)</f>
        <v>0</v>
      </c>
      <c r="K16" s="81">
        <f t="shared" si="0"/>
        <v>0</v>
      </c>
      <c r="L16" s="16" t="str">
        <f t="shared" si="1"/>
        <v>Leistungswert eintragen</v>
      </c>
    </row>
    <row r="17" spans="1:12" x14ac:dyDescent="0.2">
      <c r="A17" s="189">
        <v>13</v>
      </c>
      <c r="B17" s="80" t="s">
        <v>244</v>
      </c>
      <c r="C17" s="80" t="s">
        <v>276</v>
      </c>
      <c r="D17" s="80" t="s">
        <v>290</v>
      </c>
      <c r="E17" s="81" t="s">
        <v>296</v>
      </c>
      <c r="F17" s="81" t="s">
        <v>293</v>
      </c>
      <c r="G17" s="82" t="s">
        <v>314</v>
      </c>
      <c r="H17" s="81">
        <v>3.85</v>
      </c>
      <c r="I17" s="83"/>
      <c r="J17" s="82">
        <f ca="1">IF('SVS Regiestunden Trainingslager'!$H$61="",0,'SVS Regiestunden Trainingslager'!$H$61)</f>
        <v>0</v>
      </c>
      <c r="K17" s="81">
        <f t="shared" si="0"/>
        <v>0</v>
      </c>
      <c r="L17" s="16" t="str">
        <f t="shared" si="1"/>
        <v>Leistungswert eintragen</v>
      </c>
    </row>
    <row r="18" spans="1:12" x14ac:dyDescent="0.2">
      <c r="A18" s="189">
        <v>14</v>
      </c>
      <c r="B18" s="80" t="s">
        <v>244</v>
      </c>
      <c r="C18" s="80" t="s">
        <v>276</v>
      </c>
      <c r="D18" s="80" t="s">
        <v>290</v>
      </c>
      <c r="E18" s="81" t="s">
        <v>292</v>
      </c>
      <c r="F18" s="81" t="s">
        <v>293</v>
      </c>
      <c r="G18" s="82" t="s">
        <v>314</v>
      </c>
      <c r="H18" s="81">
        <v>5.41</v>
      </c>
      <c r="I18" s="83"/>
      <c r="J18" s="82">
        <f ca="1">IF('SVS Regiestunden Trainingslager'!$H$61="",0,'SVS Regiestunden Trainingslager'!$H$61)</f>
        <v>0</v>
      </c>
      <c r="K18" s="81">
        <f t="shared" si="0"/>
        <v>0</v>
      </c>
      <c r="L18" s="16" t="str">
        <f t="shared" si="1"/>
        <v>Leistungswert eintragen</v>
      </c>
    </row>
    <row r="19" spans="1:12" x14ac:dyDescent="0.2">
      <c r="A19" s="189">
        <v>15</v>
      </c>
      <c r="B19" s="80" t="s">
        <v>244</v>
      </c>
      <c r="C19" s="80" t="s">
        <v>276</v>
      </c>
      <c r="D19" s="80" t="s">
        <v>290</v>
      </c>
      <c r="E19" s="81" t="s">
        <v>291</v>
      </c>
      <c r="F19" s="81" t="s">
        <v>287</v>
      </c>
      <c r="G19" s="82" t="s">
        <v>291</v>
      </c>
      <c r="H19" s="81">
        <v>14.58</v>
      </c>
      <c r="I19" s="83"/>
      <c r="J19" s="82">
        <f ca="1">IF('SVS Regiestunden Trainingslager'!$H$61="",0,'SVS Regiestunden Trainingslager'!$H$61)</f>
        <v>0</v>
      </c>
      <c r="K19" s="81">
        <f t="shared" si="0"/>
        <v>0</v>
      </c>
      <c r="L19" s="16" t="str">
        <f t="shared" si="1"/>
        <v>Leistungswert eintragen</v>
      </c>
    </row>
    <row r="20" spans="1:12" x14ac:dyDescent="0.2">
      <c r="A20" s="189">
        <v>16</v>
      </c>
      <c r="B20" s="80" t="s">
        <v>244</v>
      </c>
      <c r="C20" s="80" t="s">
        <v>276</v>
      </c>
      <c r="D20" s="80" t="s">
        <v>290</v>
      </c>
      <c r="E20" s="81" t="s">
        <v>298</v>
      </c>
      <c r="F20" s="81" t="s">
        <v>287</v>
      </c>
      <c r="G20" s="82" t="s">
        <v>291</v>
      </c>
      <c r="H20" s="81">
        <v>6.55</v>
      </c>
      <c r="I20" s="83"/>
      <c r="J20" s="82">
        <f ca="1">IF('SVS Regiestunden Trainingslager'!$H$61="",0,'SVS Regiestunden Trainingslager'!$H$61)</f>
        <v>0</v>
      </c>
      <c r="K20" s="81">
        <f t="shared" si="0"/>
        <v>0</v>
      </c>
      <c r="L20" s="16" t="str">
        <f t="shared" si="1"/>
        <v>Leistungswert eintragen</v>
      </c>
    </row>
    <row r="21" spans="1:12" x14ac:dyDescent="0.2">
      <c r="A21" s="189">
        <v>17</v>
      </c>
      <c r="B21" s="80" t="s">
        <v>244</v>
      </c>
      <c r="C21" s="80" t="s">
        <v>276</v>
      </c>
      <c r="D21" s="80" t="s">
        <v>290</v>
      </c>
      <c r="E21" s="81" t="s">
        <v>299</v>
      </c>
      <c r="F21" s="81" t="s">
        <v>293</v>
      </c>
      <c r="G21" s="82" t="s">
        <v>314</v>
      </c>
      <c r="H21" s="81">
        <v>3.69</v>
      </c>
      <c r="I21" s="83"/>
      <c r="J21" s="82">
        <f ca="1">IF('SVS Regiestunden Trainingslager'!$H$61="",0,'SVS Regiestunden Trainingslager'!$H$61)</f>
        <v>0</v>
      </c>
      <c r="K21" s="81">
        <f t="shared" si="0"/>
        <v>0</v>
      </c>
      <c r="L21" s="16" t="str">
        <f t="shared" si="1"/>
        <v>Leistungswert eintragen</v>
      </c>
    </row>
    <row r="22" spans="1:12" x14ac:dyDescent="0.2">
      <c r="A22" s="189">
        <v>18</v>
      </c>
      <c r="B22" s="80" t="s">
        <v>244</v>
      </c>
      <c r="C22" s="80" t="s">
        <v>276</v>
      </c>
      <c r="D22" s="80" t="s">
        <v>290</v>
      </c>
      <c r="E22" s="81" t="s">
        <v>296</v>
      </c>
      <c r="F22" s="81" t="s">
        <v>293</v>
      </c>
      <c r="G22" s="82" t="s">
        <v>314</v>
      </c>
      <c r="H22" s="81">
        <v>4.99</v>
      </c>
      <c r="I22" s="83"/>
      <c r="J22" s="82">
        <f ca="1">IF('SVS Regiestunden Trainingslager'!$H$61="",0,'SVS Regiestunden Trainingslager'!$H$61)</f>
        <v>0</v>
      </c>
      <c r="K22" s="81">
        <f t="shared" si="0"/>
        <v>0</v>
      </c>
      <c r="L22" s="16" t="str">
        <f t="shared" si="1"/>
        <v>Leistungswert eintragen</v>
      </c>
    </row>
    <row r="23" spans="1:12" x14ac:dyDescent="0.2">
      <c r="A23" s="189">
        <v>19</v>
      </c>
      <c r="B23" s="80" t="s">
        <v>244</v>
      </c>
      <c r="C23" s="80" t="s">
        <v>276</v>
      </c>
      <c r="D23" s="80"/>
      <c r="E23" s="81" t="s">
        <v>300</v>
      </c>
      <c r="F23" s="81" t="s">
        <v>287</v>
      </c>
      <c r="G23" s="82" t="s">
        <v>315</v>
      </c>
      <c r="H23" s="81">
        <v>13.2</v>
      </c>
      <c r="I23" s="83"/>
      <c r="J23" s="82">
        <f ca="1">IF('SVS Regiestunden Trainingslager'!$H$61="",0,'SVS Regiestunden Trainingslager'!$H$61)</f>
        <v>0</v>
      </c>
      <c r="K23" s="81">
        <f t="shared" si="0"/>
        <v>0</v>
      </c>
      <c r="L23" s="16" t="str">
        <f t="shared" si="1"/>
        <v>Leistungswert eintragen</v>
      </c>
    </row>
    <row r="24" spans="1:12" x14ac:dyDescent="0.2">
      <c r="A24" s="189">
        <v>20</v>
      </c>
      <c r="B24" s="80" t="s">
        <v>244</v>
      </c>
      <c r="C24" s="80" t="s">
        <v>276</v>
      </c>
      <c r="D24" s="80" t="s">
        <v>301</v>
      </c>
      <c r="E24" s="81" t="s">
        <v>288</v>
      </c>
      <c r="F24" s="81" t="s">
        <v>287</v>
      </c>
      <c r="G24" s="82" t="s">
        <v>313</v>
      </c>
      <c r="H24" s="81">
        <v>31.76</v>
      </c>
      <c r="I24" s="83"/>
      <c r="J24" s="82">
        <f ca="1">IF('SVS Regiestunden Trainingslager'!$H$61="",0,'SVS Regiestunden Trainingslager'!$H$61)</f>
        <v>0</v>
      </c>
      <c r="K24" s="81">
        <f t="shared" si="0"/>
        <v>0</v>
      </c>
      <c r="L24" s="16" t="str">
        <f t="shared" si="1"/>
        <v>Leistungswert eintragen</v>
      </c>
    </row>
    <row r="25" spans="1:12" x14ac:dyDescent="0.2">
      <c r="A25" s="189">
        <v>21</v>
      </c>
      <c r="B25" s="80" t="s">
        <v>244</v>
      </c>
      <c r="C25" s="80" t="s">
        <v>276</v>
      </c>
      <c r="D25" s="80" t="s">
        <v>301</v>
      </c>
      <c r="E25" s="81" t="s">
        <v>298</v>
      </c>
      <c r="F25" s="81" t="s">
        <v>287</v>
      </c>
      <c r="G25" s="82" t="s">
        <v>291</v>
      </c>
      <c r="H25" s="81">
        <v>6.57</v>
      </c>
      <c r="I25" s="83"/>
      <c r="J25" s="82">
        <f ca="1">IF('SVS Regiestunden Trainingslager'!$H$61="",0,'SVS Regiestunden Trainingslager'!$H$61)</f>
        <v>0</v>
      </c>
      <c r="K25" s="81">
        <f t="shared" si="0"/>
        <v>0</v>
      </c>
      <c r="L25" s="16" t="str">
        <f t="shared" si="1"/>
        <v>Leistungswert eintragen</v>
      </c>
    </row>
    <row r="26" spans="1:12" x14ac:dyDescent="0.2">
      <c r="A26" s="189">
        <v>22</v>
      </c>
      <c r="B26" s="80" t="s">
        <v>244</v>
      </c>
      <c r="C26" s="80" t="s">
        <v>276</v>
      </c>
      <c r="D26" s="80" t="s">
        <v>301</v>
      </c>
      <c r="E26" s="81" t="s">
        <v>299</v>
      </c>
      <c r="F26" s="81" t="s">
        <v>293</v>
      </c>
      <c r="G26" s="82" t="s">
        <v>314</v>
      </c>
      <c r="H26" s="81">
        <v>4.0999999999999996</v>
      </c>
      <c r="I26" s="83"/>
      <c r="J26" s="82">
        <f ca="1">IF('SVS Regiestunden Trainingslager'!$H$61="",0,'SVS Regiestunden Trainingslager'!$H$61)</f>
        <v>0</v>
      </c>
      <c r="K26" s="81">
        <f t="shared" si="0"/>
        <v>0</v>
      </c>
      <c r="L26" s="16" t="str">
        <f t="shared" si="1"/>
        <v>Leistungswert eintragen</v>
      </c>
    </row>
    <row r="27" spans="1:12" x14ac:dyDescent="0.2">
      <c r="A27" s="189">
        <v>23</v>
      </c>
      <c r="B27" s="80" t="s">
        <v>244</v>
      </c>
      <c r="C27" s="80" t="s">
        <v>276</v>
      </c>
      <c r="D27" s="80" t="s">
        <v>301</v>
      </c>
      <c r="E27" s="81" t="s">
        <v>291</v>
      </c>
      <c r="F27" s="81" t="s">
        <v>287</v>
      </c>
      <c r="G27" s="82" t="s">
        <v>291</v>
      </c>
      <c r="H27" s="81">
        <v>14.53</v>
      </c>
      <c r="I27" s="83"/>
      <c r="J27" s="82">
        <f ca="1">IF('SVS Regiestunden Trainingslager'!$H$61="",0,'SVS Regiestunden Trainingslager'!$H$61)</f>
        <v>0</v>
      </c>
      <c r="K27" s="81">
        <f t="shared" si="0"/>
        <v>0</v>
      </c>
      <c r="L27" s="16" t="str">
        <f t="shared" si="1"/>
        <v>Leistungswert eintragen</v>
      </c>
    </row>
    <row r="28" spans="1:12" x14ac:dyDescent="0.2">
      <c r="A28" s="189">
        <v>24</v>
      </c>
      <c r="B28" s="80" t="s">
        <v>244</v>
      </c>
      <c r="C28" s="80" t="s">
        <v>276</v>
      </c>
      <c r="D28" s="80" t="s">
        <v>301</v>
      </c>
      <c r="E28" s="81" t="s">
        <v>292</v>
      </c>
      <c r="F28" s="81" t="s">
        <v>293</v>
      </c>
      <c r="G28" s="82" t="s">
        <v>314</v>
      </c>
      <c r="H28" s="81">
        <v>5.59</v>
      </c>
      <c r="I28" s="83"/>
      <c r="J28" s="82">
        <f ca="1">IF('SVS Regiestunden Trainingslager'!$H$61="",0,'SVS Regiestunden Trainingslager'!$H$61)</f>
        <v>0</v>
      </c>
      <c r="K28" s="81">
        <f t="shared" si="0"/>
        <v>0</v>
      </c>
      <c r="L28" s="16" t="str">
        <f t="shared" si="1"/>
        <v>Leistungswert eintragen</v>
      </c>
    </row>
    <row r="29" spans="1:12" x14ac:dyDescent="0.2">
      <c r="A29" s="189">
        <v>25</v>
      </c>
      <c r="B29" s="80" t="s">
        <v>244</v>
      </c>
      <c r="C29" s="80" t="s">
        <v>276</v>
      </c>
      <c r="D29" s="80" t="s">
        <v>301</v>
      </c>
      <c r="E29" s="81" t="s">
        <v>294</v>
      </c>
      <c r="F29" s="81" t="s">
        <v>293</v>
      </c>
      <c r="G29" s="82" t="s">
        <v>314</v>
      </c>
      <c r="H29" s="81">
        <v>18.489999999999998</v>
      </c>
      <c r="I29" s="83"/>
      <c r="J29" s="82">
        <f ca="1">IF('SVS Regiestunden Trainingslager'!$H$61="",0,'SVS Regiestunden Trainingslager'!$H$61)</f>
        <v>0</v>
      </c>
      <c r="K29" s="81">
        <f t="shared" si="0"/>
        <v>0</v>
      </c>
      <c r="L29" s="16" t="str">
        <f t="shared" si="1"/>
        <v>Leistungswert eintragen</v>
      </c>
    </row>
    <row r="30" spans="1:12" x14ac:dyDescent="0.2">
      <c r="A30" s="189">
        <v>26</v>
      </c>
      <c r="B30" s="80" t="s">
        <v>244</v>
      </c>
      <c r="C30" s="80" t="s">
        <v>276</v>
      </c>
      <c r="D30" s="80" t="s">
        <v>301</v>
      </c>
      <c r="E30" s="81" t="s">
        <v>296</v>
      </c>
      <c r="F30" s="81" t="s">
        <v>293</v>
      </c>
      <c r="G30" s="82" t="s">
        <v>314</v>
      </c>
      <c r="H30" s="81">
        <v>3.9</v>
      </c>
      <c r="I30" s="83"/>
      <c r="J30" s="82">
        <f ca="1">IF('SVS Regiestunden Trainingslager'!$H$61="",0,'SVS Regiestunden Trainingslager'!$H$61)</f>
        <v>0</v>
      </c>
      <c r="K30" s="81">
        <f t="shared" si="0"/>
        <v>0</v>
      </c>
      <c r="L30" s="16" t="str">
        <f t="shared" si="1"/>
        <v>Leistungswert eintragen</v>
      </c>
    </row>
    <row r="31" spans="1:12" x14ac:dyDescent="0.2">
      <c r="A31" s="189">
        <v>27</v>
      </c>
      <c r="B31" s="80" t="s">
        <v>244</v>
      </c>
      <c r="C31" s="80" t="s">
        <v>276</v>
      </c>
      <c r="D31" s="80" t="s">
        <v>301</v>
      </c>
      <c r="E31" s="81" t="s">
        <v>295</v>
      </c>
      <c r="F31" s="81" t="s">
        <v>293</v>
      </c>
      <c r="G31" s="82" t="s">
        <v>314</v>
      </c>
      <c r="H31" s="81">
        <v>1.99</v>
      </c>
      <c r="I31" s="83"/>
      <c r="J31" s="82">
        <f ca="1">IF('SVS Regiestunden Trainingslager'!$H$61="",0,'SVS Regiestunden Trainingslager'!$H$61)</f>
        <v>0</v>
      </c>
      <c r="K31" s="81">
        <f t="shared" si="0"/>
        <v>0</v>
      </c>
      <c r="L31" s="16" t="str">
        <f t="shared" si="1"/>
        <v>Leistungswert eintragen</v>
      </c>
    </row>
    <row r="32" spans="1:12" x14ac:dyDescent="0.2">
      <c r="A32" s="189">
        <v>28</v>
      </c>
      <c r="B32" s="80" t="s">
        <v>244</v>
      </c>
      <c r="C32" s="80" t="s">
        <v>276</v>
      </c>
      <c r="D32" s="80" t="s">
        <v>301</v>
      </c>
      <c r="E32" s="81" t="s">
        <v>292</v>
      </c>
      <c r="F32" s="81" t="s">
        <v>293</v>
      </c>
      <c r="G32" s="82" t="s">
        <v>314</v>
      </c>
      <c r="H32" s="81">
        <v>5.59</v>
      </c>
      <c r="I32" s="83"/>
      <c r="J32" s="82">
        <f ca="1">IF('SVS Regiestunden Trainingslager'!$H$61="",0,'SVS Regiestunden Trainingslager'!$H$61)</f>
        <v>0</v>
      </c>
      <c r="K32" s="81">
        <f t="shared" si="0"/>
        <v>0</v>
      </c>
      <c r="L32" s="16" t="str">
        <f t="shared" si="1"/>
        <v>Leistungswert eintragen</v>
      </c>
    </row>
    <row r="33" spans="1:12" x14ac:dyDescent="0.2">
      <c r="A33" s="189">
        <v>29</v>
      </c>
      <c r="B33" s="80" t="s">
        <v>244</v>
      </c>
      <c r="C33" s="80" t="s">
        <v>276</v>
      </c>
      <c r="D33" s="80" t="s">
        <v>301</v>
      </c>
      <c r="E33" s="81" t="s">
        <v>291</v>
      </c>
      <c r="F33" s="81" t="s">
        <v>287</v>
      </c>
      <c r="G33" s="82" t="s">
        <v>291</v>
      </c>
      <c r="H33" s="81">
        <v>14.56</v>
      </c>
      <c r="I33" s="83"/>
      <c r="J33" s="82">
        <f ca="1">IF('SVS Regiestunden Trainingslager'!$H$61="",0,'SVS Regiestunden Trainingslager'!$H$61)</f>
        <v>0</v>
      </c>
      <c r="K33" s="81">
        <f t="shared" si="0"/>
        <v>0</v>
      </c>
      <c r="L33" s="16" t="str">
        <f t="shared" si="1"/>
        <v>Leistungswert eintragen</v>
      </c>
    </row>
    <row r="34" spans="1:12" x14ac:dyDescent="0.2">
      <c r="A34" s="189">
        <v>30</v>
      </c>
      <c r="B34" s="80" t="s">
        <v>244</v>
      </c>
      <c r="C34" s="80" t="s">
        <v>276</v>
      </c>
      <c r="D34" s="80"/>
      <c r="E34" s="81" t="s">
        <v>302</v>
      </c>
      <c r="F34" s="81" t="s">
        <v>303</v>
      </c>
      <c r="G34" s="82" t="s">
        <v>312</v>
      </c>
      <c r="H34" s="81">
        <v>10.09</v>
      </c>
      <c r="I34" s="83"/>
      <c r="J34" s="82">
        <f ca="1">IF('SVS Regiestunden Trainingslager'!$H$61="",0,'SVS Regiestunden Trainingslager'!$H$61)</f>
        <v>0</v>
      </c>
      <c r="K34" s="81">
        <f t="shared" si="0"/>
        <v>0</v>
      </c>
      <c r="L34" s="16" t="str">
        <f t="shared" si="1"/>
        <v>Leistungswert eintragen</v>
      </c>
    </row>
    <row r="35" spans="1:12" x14ac:dyDescent="0.2">
      <c r="A35" s="189">
        <v>31</v>
      </c>
      <c r="B35" s="80" t="s">
        <v>244</v>
      </c>
      <c r="C35" s="80" t="s">
        <v>276</v>
      </c>
      <c r="D35" s="80" t="s">
        <v>301</v>
      </c>
      <c r="E35" s="81" t="s">
        <v>295</v>
      </c>
      <c r="F35" s="81" t="s">
        <v>293</v>
      </c>
      <c r="G35" s="82" t="s">
        <v>314</v>
      </c>
      <c r="H35" s="81">
        <v>3.37</v>
      </c>
      <c r="I35" s="83"/>
      <c r="J35" s="82">
        <f ca="1">IF('SVS Regiestunden Trainingslager'!$H$61="",0,'SVS Regiestunden Trainingslager'!$H$61)</f>
        <v>0</v>
      </c>
      <c r="K35" s="81">
        <f t="shared" si="0"/>
        <v>0</v>
      </c>
      <c r="L35" s="16" t="str">
        <f t="shared" si="1"/>
        <v>Leistungswert eintragen</v>
      </c>
    </row>
    <row r="36" spans="1:12" x14ac:dyDescent="0.2">
      <c r="A36" s="189">
        <v>32</v>
      </c>
      <c r="B36" s="80" t="s">
        <v>244</v>
      </c>
      <c r="C36" s="80" t="s">
        <v>276</v>
      </c>
      <c r="D36" s="80"/>
      <c r="E36" s="81" t="s">
        <v>304</v>
      </c>
      <c r="F36" s="81" t="s">
        <v>305</v>
      </c>
      <c r="G36" s="82" t="s">
        <v>312</v>
      </c>
      <c r="H36" s="81">
        <v>3.37</v>
      </c>
      <c r="I36" s="83"/>
      <c r="J36" s="82">
        <f ca="1">IF('SVS Regiestunden Trainingslager'!$H$61="",0,'SVS Regiestunden Trainingslager'!$H$61)</f>
        <v>0</v>
      </c>
      <c r="K36" s="81">
        <f t="shared" si="0"/>
        <v>0</v>
      </c>
      <c r="L36" s="16" t="str">
        <f t="shared" si="1"/>
        <v>Leistungswert eintragen</v>
      </c>
    </row>
    <row r="37" spans="1:12" x14ac:dyDescent="0.2">
      <c r="A37" s="189">
        <v>33</v>
      </c>
      <c r="B37" s="80" t="s">
        <v>244</v>
      </c>
      <c r="C37" s="80" t="s">
        <v>306</v>
      </c>
      <c r="D37" s="80"/>
      <c r="E37" s="81" t="s">
        <v>307</v>
      </c>
      <c r="F37" s="81" t="s">
        <v>287</v>
      </c>
      <c r="G37" s="82" t="s">
        <v>315</v>
      </c>
      <c r="H37" s="81">
        <v>157.68</v>
      </c>
      <c r="I37" s="83"/>
      <c r="J37" s="82">
        <f ca="1">IF('SVS Regiestunden Trainingslager'!$H$61="",0,'SVS Regiestunden Trainingslager'!$H$61)</f>
        <v>0</v>
      </c>
      <c r="K37" s="81">
        <f t="shared" si="0"/>
        <v>0</v>
      </c>
      <c r="L37" s="16" t="str">
        <f t="shared" si="1"/>
        <v>Leistungswert eintragen</v>
      </c>
    </row>
    <row r="38" spans="1:12" x14ac:dyDescent="0.2">
      <c r="A38" s="189">
        <v>34</v>
      </c>
      <c r="B38" s="80" t="s">
        <v>244</v>
      </c>
      <c r="C38" s="80" t="s">
        <v>306</v>
      </c>
      <c r="D38" s="80" t="s">
        <v>307</v>
      </c>
      <c r="E38" s="81" t="s">
        <v>308</v>
      </c>
      <c r="F38" s="81" t="s">
        <v>284</v>
      </c>
      <c r="G38" s="82" t="s">
        <v>312</v>
      </c>
      <c r="H38" s="81">
        <v>11.7</v>
      </c>
      <c r="I38" s="83"/>
      <c r="J38" s="82">
        <f ca="1">IF('SVS Regiestunden Trainingslager'!$H$61="",0,'SVS Regiestunden Trainingslager'!$H$61)</f>
        <v>0</v>
      </c>
      <c r="K38" s="81">
        <f t="shared" si="0"/>
        <v>0</v>
      </c>
      <c r="L38" s="16" t="str">
        <f t="shared" si="1"/>
        <v>Leistungswert eintragen</v>
      </c>
    </row>
    <row r="39" spans="1:12" x14ac:dyDescent="0.2">
      <c r="A39" s="189">
        <v>35</v>
      </c>
      <c r="B39" s="80" t="s">
        <v>244</v>
      </c>
      <c r="C39" s="80" t="s">
        <v>306</v>
      </c>
      <c r="D39" s="80"/>
      <c r="E39" s="81" t="s">
        <v>309</v>
      </c>
      <c r="F39" s="81" t="s">
        <v>287</v>
      </c>
      <c r="G39" s="82" t="s">
        <v>310</v>
      </c>
      <c r="H39" s="81">
        <v>10.25</v>
      </c>
      <c r="I39" s="83"/>
      <c r="J39" s="82">
        <f ca="1">IF('SVS Regiestunden Trainingslager'!$H$61="",0,'SVS Regiestunden Trainingslager'!$H$61)</f>
        <v>0</v>
      </c>
      <c r="K39" s="81">
        <f t="shared" si="0"/>
        <v>0</v>
      </c>
      <c r="L39" s="16" t="str">
        <f t="shared" si="1"/>
        <v>Leistungswert eintragen</v>
      </c>
    </row>
    <row r="40" spans="1:12" x14ac:dyDescent="0.2">
      <c r="A40" s="189">
        <v>36</v>
      </c>
      <c r="B40" s="80" t="s">
        <v>244</v>
      </c>
      <c r="C40" s="80" t="s">
        <v>306</v>
      </c>
      <c r="D40" s="80"/>
      <c r="E40" s="81" t="s">
        <v>310</v>
      </c>
      <c r="F40" s="81" t="s">
        <v>284</v>
      </c>
      <c r="G40" s="82" t="s">
        <v>310</v>
      </c>
      <c r="H40" s="81">
        <v>5.8</v>
      </c>
      <c r="I40" s="83"/>
      <c r="J40" s="82">
        <f ca="1">IF('SVS Regiestunden Trainingslager'!$H$61="",0,'SVS Regiestunden Trainingslager'!$H$61)</f>
        <v>0</v>
      </c>
      <c r="K40" s="81">
        <f t="shared" si="0"/>
        <v>0</v>
      </c>
      <c r="L40" s="16" t="str">
        <f t="shared" si="1"/>
        <v>Leistungswert eintragen</v>
      </c>
    </row>
    <row r="41" spans="1:12" x14ac:dyDescent="0.2">
      <c r="B41" s="84"/>
      <c r="C41" s="84"/>
      <c r="D41" s="84"/>
      <c r="E41" s="85"/>
      <c r="F41" s="85"/>
      <c r="G41" s="86"/>
      <c r="H41" s="85"/>
      <c r="I41" s="85"/>
      <c r="J41" s="86"/>
      <c r="K41" s="85"/>
    </row>
    <row r="42" spans="1:12" ht="24" customHeight="1" x14ac:dyDescent="0.2">
      <c r="C42" s="251" t="s">
        <v>624</v>
      </c>
      <c r="D42" s="252"/>
      <c r="E42" s="252"/>
      <c r="F42" s="252"/>
      <c r="G42" s="252"/>
      <c r="H42" s="252"/>
      <c r="I42" s="252"/>
      <c r="J42" s="253"/>
    </row>
    <row r="43" spans="1:12" s="87" customFormat="1" ht="24.95" customHeight="1" x14ac:dyDescent="0.2">
      <c r="C43" s="254" t="s">
        <v>625</v>
      </c>
      <c r="D43" s="255"/>
      <c r="E43" s="255"/>
      <c r="F43" s="255"/>
      <c r="G43" s="255"/>
      <c r="H43" s="255"/>
      <c r="I43" s="255"/>
      <c r="J43" s="256"/>
      <c r="L43" s="188"/>
    </row>
  </sheetData>
  <sheetProtection algorithmName="SHA-512" hashValue="rzvtlhpKPFFZimR1Y5Beumjz28NJiayZDQhYsy9lldXuve+F1lQZlZOYqnbBTZvBcA58QedXGO/SZhjtCw9bHg==" saltValue="EG7GXGVj4JPsFRiq1Rz8zQ==" spinCount="100000" sheet="1" objects="1" scenarios="1"/>
  <mergeCells count="3">
    <mergeCell ref="G2:K3"/>
    <mergeCell ref="C42:J42"/>
    <mergeCell ref="C43:J43"/>
  </mergeCells>
  <conditionalFormatting sqref="L5:L40">
    <cfRule type="containsText" dxfId="29" priority="1" stopIfTrue="1" operator="containsText" text="Steigerkosten eintragen">
      <formula>NOT(ISERROR(SEARCH("Steigerkosten eintragen",L5)))</formula>
    </cfRule>
    <cfRule type="containsText" dxfId="28" priority="2" stopIfTrue="1" operator="containsText" text="SVS prüfen">
      <formula>NOT(ISERROR(SEARCH("SVS prüfen",L5)))</formula>
    </cfRule>
    <cfRule type="containsText" dxfId="27" priority="3" stopIfTrue="1" operator="containsText" text="Leistungswert eintragen">
      <formula>NOT(ISERROR(SEARCH("Leistungswert eintragen",L5)))</formula>
    </cfRule>
    <cfRule type="containsText" dxfId="26" priority="4" stopIfTrue="1" operator="containsText" text="Steigerkosten eintragen">
      <formula>NOT(ISERROR(SEARCH("Steigerkosten eintragen",L5)))</formula>
    </cfRule>
    <cfRule type="containsText" dxfId="25" priority="5" stopIfTrue="1" operator="containsText" text="SVS prüfen">
      <formula>NOT(ISERROR(SEARCH("SVS prüfen",L5)))</formula>
    </cfRule>
    <cfRule type="containsText" dxfId="24" priority="6" stopIfTrue="1" operator="containsText" text="Leistungswert eintragen">
      <formula>NOT(ISERROR(SEARCH("Leistungswert eintragen",L5)))</formula>
    </cfRule>
    <cfRule type="containsText" dxfId="23" priority="7" stopIfTrue="1" operator="containsText" text="Steigerkosten eintragen">
      <formula>NOT(ISERROR(SEARCH("Steigerkosten eintragen",L5)))</formula>
    </cfRule>
    <cfRule type="containsText" dxfId="22" priority="8" stopIfTrue="1" operator="containsText" text="SVS prüfen">
      <formula>NOT(ISERROR(SEARCH("SVS prüfen",L5)))</formula>
    </cfRule>
    <cfRule type="containsText" dxfId="21" priority="9" stopIfTrue="1" operator="containsText" text="Leistungswert eintragen">
      <formula>NOT(ISERROR(SEARCH("Leistungswert eintragen",L5)))</formula>
    </cfRule>
    <cfRule type="containsText" dxfId="20" priority="10" stopIfTrue="1" operator="containsText" text="Steigerkosten eintragen">
      <formula>NOT(ISERROR(SEARCH("Steigerkosten eintragen",L5)))</formula>
    </cfRule>
    <cfRule type="containsText" dxfId="19" priority="11" stopIfTrue="1" operator="containsText" text="SVS prüfen">
      <formula>NOT(ISERROR(SEARCH("SVS prüfen",L5)))</formula>
    </cfRule>
    <cfRule type="containsText" dxfId="18" priority="12" stopIfTrue="1" operator="containsText" text="Leistungswert eintragen">
      <formula>NOT(ISERROR(SEARCH("Leistungswert eintragen",L5)))</formula>
    </cfRule>
    <cfRule type="containsText" dxfId="17" priority="13" stopIfTrue="1" operator="containsText" text="Steigerkosten eintragen">
      <formula>NOT(ISERROR(SEARCH("Steigerkosten eintragen",L5)))</formula>
    </cfRule>
    <cfRule type="containsText" dxfId="16" priority="14" stopIfTrue="1" operator="containsText" text="SVS prüfen">
      <formula>NOT(ISERROR(SEARCH("SVS prüfen",L5)))</formula>
    </cfRule>
    <cfRule type="containsText" dxfId="15" priority="15" stopIfTrue="1" operator="containsText" text="Leistungswert eintragen">
      <formula>NOT(ISERROR(SEARCH("Leistungswert eintragen",L5)))</formula>
    </cfRule>
  </conditionalFormatting>
  <hyperlinks>
    <hyperlink ref="J1" location="Inhaltsverzeichnis!A1" display="Zurück zum Inhaltsverzeichnis" xr:uid="{C43A83AC-064D-4374-9B2F-BFC751DF25B9}"/>
  </hyperlinks>
  <printOptions horizontalCentered="1"/>
  <pageMargins left="0.78740157480314965" right="0.78740157480314965" top="0.98425196850393704" bottom="0.98425196850393704" header="0.51181102362204722" footer="0.51181102362204722"/>
  <pageSetup paperSize="9" scale="60" firstPageNumber="66" fitToHeight="0" orientation="landscape" r:id="rId1"/>
  <headerFooter alignWithMargins="0">
    <oddHeader>&amp;L&amp;F</oddHeader>
    <oddFooter>&amp;LStadt Harzgerode&amp;CSeite &amp;P von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9265" r:id="rId4" name="Check Box 1">
              <controlPr defaultSize="0" autoFill="0" autoLine="0" autoPict="0">
                <anchor moveWithCells="1">
                  <from>
                    <xdr:col>5</xdr:col>
                    <xdr:colOff>9525</xdr:colOff>
                    <xdr:row>1</xdr:row>
                    <xdr:rowOff>47625</xdr:rowOff>
                  </from>
                  <to>
                    <xdr:col>5</xdr:col>
                    <xdr:colOff>771525</xdr:colOff>
                    <xdr:row>1</xdr:row>
                    <xdr:rowOff>276225</xdr:rowOff>
                  </to>
                </anchor>
              </controlPr>
            </control>
          </mc:Choice>
        </mc:AlternateContent>
        <mc:AlternateContent xmlns:mc="http://schemas.openxmlformats.org/markup-compatibility/2006">
          <mc:Choice Requires="x14">
            <control shapeId="139266" r:id="rId5" name="Check Box 2">
              <controlPr defaultSize="0" autoFill="0" autoLine="0" autoPict="0" altText="Hinweis 2">
                <anchor moveWithCells="1">
                  <from>
                    <xdr:col>5</xdr:col>
                    <xdr:colOff>9525</xdr:colOff>
                    <xdr:row>2</xdr:row>
                    <xdr:rowOff>47625</xdr:rowOff>
                  </from>
                  <to>
                    <xdr:col>5</xdr:col>
                    <xdr:colOff>771525</xdr:colOff>
                    <xdr:row>2</xdr:row>
                    <xdr:rowOff>276225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9952-CCFE-4948-863A-DD82687C752D}">
  <sheetPr>
    <tabColor indexed="16"/>
  </sheetPr>
  <dimension ref="A1:K5"/>
  <sheetViews>
    <sheetView showGridLines="0" zoomScaleNormal="100" workbookViewId="0"/>
  </sheetViews>
  <sheetFormatPr baseColWidth="10" defaultColWidth="0" defaultRowHeight="12.75" x14ac:dyDescent="0.2"/>
  <cols>
    <col min="1" max="1" width="8.140625" style="61" customWidth="1"/>
    <col min="2" max="2" width="22.5703125" style="61" customWidth="1"/>
    <col min="3" max="3" width="26" style="61" customWidth="1"/>
    <col min="4" max="5" width="11.42578125" style="61" customWidth="1"/>
    <col min="6" max="6" width="19.28515625" style="61" customWidth="1"/>
    <col min="7" max="7" width="18.5703125" style="61" customWidth="1"/>
    <col min="8" max="10" width="11.42578125" style="61" customWidth="1"/>
    <col min="11" max="11" width="21.7109375" style="61" customWidth="1"/>
    <col min="12" max="16384" width="11.42578125" style="61" hidden="1"/>
  </cols>
  <sheetData>
    <row r="1" spans="1:11" ht="26.1" customHeight="1" x14ac:dyDescent="0.2">
      <c r="A1" s="16" t="s">
        <v>626</v>
      </c>
      <c r="B1" s="16"/>
      <c r="C1" s="16"/>
      <c r="D1" s="16"/>
      <c r="E1" s="16"/>
      <c r="F1" s="16"/>
      <c r="G1" s="27"/>
      <c r="H1" s="26" t="s">
        <v>100</v>
      </c>
    </row>
    <row r="2" spans="1:11" ht="26.1" customHeight="1" x14ac:dyDescent="0.2">
      <c r="A2" s="16" t="s">
        <v>105</v>
      </c>
      <c r="B2" s="18" t="str">
        <f>IF(Inhaltsverzeichnis!$C$3="", "",Inhaltsverzeichnis!$C$3)</f>
        <v/>
      </c>
      <c r="C2" s="16"/>
      <c r="D2" s="29" t="b">
        <v>0</v>
      </c>
      <c r="E2" s="249" t="str">
        <f>IF(D2=TRUE,"Bitte tragen Sie Ihre Leistungswerte in die gelben Zellen direkt unter der Zelle Leistung (Spinde pro Stunde) ein. ",IF(D3=TRUE,
"Die rot markierten Informationen sind nur zur Unterstützung. Sie zeigen an, wenn gelbe Zellen in dieser Tabelle oder in dem Stundenverrechnungssatz (SVS UnterhaltsRG) nicht ausgefüllt sind. " &amp;
"Wenn keine rote Schrift mehr angezeigt wird, ist alles ausgefüllt.",""))</f>
        <v/>
      </c>
      <c r="F2" s="249"/>
      <c r="G2" s="249"/>
      <c r="H2" s="249"/>
      <c r="I2" s="249"/>
      <c r="J2" s="35"/>
    </row>
    <row r="3" spans="1:11" ht="26.1" customHeight="1" x14ac:dyDescent="0.2">
      <c r="A3" s="16"/>
      <c r="B3" s="16"/>
      <c r="C3" s="16"/>
      <c r="D3" s="29" t="b">
        <v>0</v>
      </c>
      <c r="E3" s="250"/>
      <c r="F3" s="250"/>
      <c r="G3" s="250"/>
      <c r="H3" s="250"/>
      <c r="I3" s="250"/>
      <c r="J3" s="35"/>
      <c r="K3" s="62">
        <f>IF(COUNTA($K$5:$K$5)-COUNTBLANK($K$5:$K$5)=0,"",COUNTA($K$5:$K$5)-COUNTBLANK($K$5:$K$5))</f>
        <v>1</v>
      </c>
    </row>
    <row r="4" spans="1:11" ht="50.1" customHeight="1" x14ac:dyDescent="0.2">
      <c r="A4" s="42" t="s">
        <v>92</v>
      </c>
      <c r="B4" s="42" t="s">
        <v>115</v>
      </c>
      <c r="C4" s="42" t="s">
        <v>240</v>
      </c>
      <c r="D4" s="41" t="s">
        <v>172</v>
      </c>
      <c r="E4" s="41" t="s">
        <v>610</v>
      </c>
      <c r="F4" s="41" t="s">
        <v>627</v>
      </c>
      <c r="G4" s="41" t="s">
        <v>628</v>
      </c>
      <c r="H4" s="41" t="s">
        <v>629</v>
      </c>
      <c r="I4" s="70" t="s">
        <v>119</v>
      </c>
      <c r="J4" s="41" t="s">
        <v>120</v>
      </c>
      <c r="K4" s="17"/>
    </row>
    <row r="5" spans="1:11" ht="24.95" customHeight="1" x14ac:dyDescent="0.2">
      <c r="A5" s="189">
        <v>1</v>
      </c>
      <c r="B5" s="51" t="s">
        <v>244</v>
      </c>
      <c r="C5" s="57" t="s">
        <v>649</v>
      </c>
      <c r="D5" s="56">
        <v>1</v>
      </c>
      <c r="E5" s="56">
        <f>VLOOKUP(D5,Reinigungstage!A10:B31,2,FALSE)</f>
        <v>44.73</v>
      </c>
      <c r="F5" s="56">
        <v>28</v>
      </c>
      <c r="G5" s="50" t="s">
        <v>630</v>
      </c>
      <c r="H5" s="88"/>
      <c r="I5" s="55">
        <f ca="1">IF('SVS UnterhaltsRG'!$H$61="",0,'SVS UnterhaltsRG'!$H$61)</f>
        <v>0</v>
      </c>
      <c r="J5" s="55">
        <f>IF(H5="",0,ROUND(F5/H5*I5,2))</f>
        <v>0</v>
      </c>
      <c r="K5" s="16" t="str">
        <f>IF(F5=0,"",IF(H5="","Leistungswert eintragen",IF(I5=0,"SVS prüfen","")))</f>
        <v>Leistungswert eintragen</v>
      </c>
    </row>
  </sheetData>
  <sheetProtection algorithmName="SHA-512" hashValue="yzr5yRff95trDSGQmklVKPsEIBDiRpSwX52clKxLBxY7tZgN4aCr7ByTR8vPcOhgMei8Aa+d4YAkRStZBtL4jQ==" saltValue="FcNFwU2TJgHDZ1Xf6rX0ow==" spinCount="100000" sheet="1" objects="1" scenarios="1"/>
  <mergeCells count="1">
    <mergeCell ref="E2:I3"/>
  </mergeCells>
  <conditionalFormatting sqref="K5">
    <cfRule type="containsText" dxfId="14" priority="1" stopIfTrue="1" operator="containsText" text="Steigerkosten eintragen">
      <formula>NOT(ISERROR(SEARCH("Steigerkosten eintragen",K5)))</formula>
    </cfRule>
    <cfRule type="containsText" dxfId="13" priority="2" stopIfTrue="1" operator="containsText" text="SVS prüfen">
      <formula>NOT(ISERROR(SEARCH("SVS prüfen",K5)))</formula>
    </cfRule>
    <cfRule type="containsText" dxfId="12" priority="3" stopIfTrue="1" operator="containsText" text="Leistungswert eintragen">
      <formula>NOT(ISERROR(SEARCH("Leistungswert eintragen",K5)))</formula>
    </cfRule>
    <cfRule type="containsText" dxfId="11" priority="4" stopIfTrue="1" operator="containsText" text="Steigerkosten eintragen">
      <formula>NOT(ISERROR(SEARCH("Steigerkosten eintragen",K5)))</formula>
    </cfRule>
    <cfRule type="containsText" dxfId="10" priority="5" stopIfTrue="1" operator="containsText" text="SVS prüfen">
      <formula>NOT(ISERROR(SEARCH("SVS prüfen",K5)))</formula>
    </cfRule>
    <cfRule type="containsText" dxfId="9" priority="6" stopIfTrue="1" operator="containsText" text="Leistungswert eintragen">
      <formula>NOT(ISERROR(SEARCH("Leistungswert eintragen",K5)))</formula>
    </cfRule>
    <cfRule type="containsText" dxfId="8" priority="7" stopIfTrue="1" operator="containsText" text="Steigerkosten eintragen">
      <formula>NOT(ISERROR(SEARCH("Steigerkosten eintragen",K5)))</formula>
    </cfRule>
    <cfRule type="containsText" dxfId="7" priority="8" stopIfTrue="1" operator="containsText" text="SVS prüfen">
      <formula>NOT(ISERROR(SEARCH("SVS prüfen",K5)))</formula>
    </cfRule>
    <cfRule type="containsText" dxfId="6" priority="9" stopIfTrue="1" operator="containsText" text="Leistungswert eintragen">
      <formula>NOT(ISERROR(SEARCH("Leistungswert eintragen",K5)))</formula>
    </cfRule>
    <cfRule type="containsText" dxfId="5" priority="10" stopIfTrue="1" operator="containsText" text="Steigerkosten eintragen">
      <formula>NOT(ISERROR(SEARCH("Steigerkosten eintragen",K5)))</formula>
    </cfRule>
    <cfRule type="containsText" dxfId="4" priority="11" stopIfTrue="1" operator="containsText" text="SVS prüfen">
      <formula>NOT(ISERROR(SEARCH("SVS prüfen",K5)))</formula>
    </cfRule>
    <cfRule type="containsText" dxfId="3" priority="12" stopIfTrue="1" operator="containsText" text="Leistungswert eintragen">
      <formula>NOT(ISERROR(SEARCH("Leistungswert eintragen",K5)))</formula>
    </cfRule>
    <cfRule type="containsText" dxfId="2" priority="13" stopIfTrue="1" operator="containsText" text="Steigerkosten eintragen">
      <formula>NOT(ISERROR(SEARCH("Steigerkosten eintragen",K5)))</formula>
    </cfRule>
    <cfRule type="containsText" dxfId="1" priority="14" stopIfTrue="1" operator="containsText" text="SVS prüfen">
      <formula>NOT(ISERROR(SEARCH("SVS prüfen",K5)))</formula>
    </cfRule>
    <cfRule type="containsText" dxfId="0" priority="15" stopIfTrue="1" operator="containsText" text="Leistungswert eintragen">
      <formula>NOT(ISERROR(SEARCH("Leistungswert eintragen",K5)))</formula>
    </cfRule>
  </conditionalFormatting>
  <hyperlinks>
    <hyperlink ref="H1" location="Inhaltsverzeichnis!A1" display="Zurück zum Inhaltsverzeichnis" xr:uid="{BB604685-DEC3-4226-8798-F4C394DBE74B}"/>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&amp;LStadt Harzgerode&amp;CSeite &amp;P von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0289" r:id="rId4" name="Check Box 1">
              <controlPr defaultSize="0" autoFill="0" autoLine="0" autoPict="0">
                <anchor moveWithCells="1">
                  <from>
                    <xdr:col>2</xdr:col>
                    <xdr:colOff>1724025</xdr:colOff>
                    <xdr:row>1</xdr:row>
                    <xdr:rowOff>38100</xdr:rowOff>
                  </from>
                  <to>
                    <xdr:col>3</xdr:col>
                    <xdr:colOff>752475</xdr:colOff>
                    <xdr:row>1</xdr:row>
                    <xdr:rowOff>266700</xdr:rowOff>
                  </to>
                </anchor>
              </controlPr>
            </control>
          </mc:Choice>
        </mc:AlternateContent>
        <mc:AlternateContent xmlns:mc="http://schemas.openxmlformats.org/markup-compatibility/2006">
          <mc:Choice Requires="x14">
            <control shapeId="140290" r:id="rId5" name="Check Box 2">
              <controlPr defaultSize="0" autoFill="0" autoLine="0" autoPict="0" altText="Hinweis 2">
                <anchor moveWithCells="1">
                  <from>
                    <xdr:col>2</xdr:col>
                    <xdr:colOff>1724025</xdr:colOff>
                    <xdr:row>2</xdr:row>
                    <xdr:rowOff>38100</xdr:rowOff>
                  </from>
                  <to>
                    <xdr:col>3</xdr:col>
                    <xdr:colOff>752475</xdr:colOff>
                    <xdr:row>2</xdr:row>
                    <xdr:rowOff>266700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9">
    <tabColor indexed="16"/>
  </sheetPr>
  <dimension ref="A1:AR31"/>
  <sheetViews>
    <sheetView showGridLines="0" zoomScaleNormal="100" workbookViewId="0"/>
  </sheetViews>
  <sheetFormatPr baseColWidth="10" defaultColWidth="6.42578125" defaultRowHeight="10.5" x14ac:dyDescent="0.15"/>
  <cols>
    <col min="1" max="1" width="22.42578125" style="6" customWidth="1"/>
    <col min="2" max="37" width="13.7109375" style="20" customWidth="1"/>
    <col min="38" max="52" width="13.7109375" style="6" customWidth="1"/>
    <col min="53" max="16384" width="6.42578125" style="6"/>
  </cols>
  <sheetData>
    <row r="1" spans="1:44" s="3" customFormat="1" ht="35.450000000000003" customHeight="1" x14ac:dyDescent="0.2">
      <c r="A1" s="3" t="s">
        <v>203</v>
      </c>
      <c r="B1" s="20"/>
      <c r="C1" s="20"/>
      <c r="D1" s="181" t="b">
        <v>0</v>
      </c>
      <c r="E1" s="192" t="str">
        <f>IF(D1=TRUE,"Hier muss nichts ausgefüllt werden. Sie sehen hier die Reinigungsarten mit den maximalen Reinigungstagen. Mehrere Tabellen greifen hierauf zu.","")</f>
        <v/>
      </c>
      <c r="F1" s="192"/>
      <c r="G1" s="192"/>
      <c r="H1" s="192"/>
      <c r="I1" s="93" t="s">
        <v>100</v>
      </c>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row>
    <row r="2" spans="1:44" s="3" customFormat="1" ht="26.45" customHeight="1" x14ac:dyDescent="0.2">
      <c r="A2" s="3" t="s">
        <v>105</v>
      </c>
      <c r="B2" s="4" t="str">
        <f>IF(Inhaltsverzeichnis!$C$3="","",Inhaltsverzeichnis!$C$3)</f>
        <v/>
      </c>
      <c r="C2" s="20"/>
      <c r="D2" s="20"/>
      <c r="E2" s="192"/>
      <c r="F2" s="192"/>
      <c r="G2" s="192"/>
      <c r="H2" s="192"/>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row>
    <row r="3" spans="1:44" s="3" customFormat="1" ht="15" customHeight="1" x14ac:dyDescent="0.2">
      <c r="B3" s="20"/>
      <c r="D3" s="20"/>
      <c r="F3" s="20"/>
      <c r="H3" s="20"/>
      <c r="J3" s="20"/>
      <c r="L3" s="20"/>
      <c r="N3" s="20"/>
      <c r="P3" s="20"/>
      <c r="R3" s="20"/>
      <c r="T3" s="20"/>
      <c r="V3" s="20"/>
      <c r="X3" s="20"/>
      <c r="Z3" s="20"/>
      <c r="AB3" s="20"/>
      <c r="AD3" s="20"/>
      <c r="AF3" s="20"/>
      <c r="AH3" s="20"/>
      <c r="AJ3" s="20"/>
      <c r="AL3" s="20"/>
      <c r="AN3" s="20"/>
      <c r="AP3" s="20"/>
      <c r="AR3" s="20"/>
    </row>
    <row r="4" spans="1:44" ht="25.5" customHeight="1" x14ac:dyDescent="0.15">
      <c r="A4" s="172" t="s">
        <v>115</v>
      </c>
      <c r="B4" s="172" t="s">
        <v>244</v>
      </c>
      <c r="C4" s="172" t="s">
        <v>250</v>
      </c>
      <c r="D4" s="172" t="s">
        <v>252</v>
      </c>
      <c r="E4" s="172" t="s">
        <v>254</v>
      </c>
      <c r="F4" s="172" t="s">
        <v>256</v>
      </c>
      <c r="G4" s="172" t="s">
        <v>259</v>
      </c>
      <c r="H4" s="172" t="s">
        <v>261</v>
      </c>
      <c r="I4" s="172" t="s">
        <v>264</v>
      </c>
      <c r="J4" s="172" t="s">
        <v>266</v>
      </c>
      <c r="K4" s="172" t="s">
        <v>268</v>
      </c>
      <c r="L4" s="172" t="s">
        <v>270</v>
      </c>
      <c r="M4" s="172" t="s">
        <v>272</v>
      </c>
      <c r="N4" s="172" t="s">
        <v>244</v>
      </c>
      <c r="O4" s="172" t="s">
        <v>250</v>
      </c>
      <c r="P4" s="172" t="s">
        <v>252</v>
      </c>
      <c r="Q4" s="172" t="s">
        <v>254</v>
      </c>
      <c r="R4" s="172" t="s">
        <v>250</v>
      </c>
      <c r="S4" s="172" t="s">
        <v>244</v>
      </c>
      <c r="T4" s="172" t="s">
        <v>256</v>
      </c>
      <c r="U4" s="172" t="s">
        <v>261</v>
      </c>
      <c r="V4" s="172" t="s">
        <v>244</v>
      </c>
      <c r="W4" s="172" t="s">
        <v>250</v>
      </c>
      <c r="X4" s="172" t="s">
        <v>252</v>
      </c>
      <c r="Y4" s="172" t="s">
        <v>261</v>
      </c>
      <c r="Z4" s="172" t="s">
        <v>250</v>
      </c>
      <c r="AA4" s="172" t="s">
        <v>244</v>
      </c>
      <c r="AB4" s="172" t="s">
        <v>250</v>
      </c>
      <c r="AC4" s="172" t="s">
        <v>250</v>
      </c>
      <c r="AD4" s="172" t="s">
        <v>252</v>
      </c>
      <c r="AE4" s="172" t="s">
        <v>256</v>
      </c>
      <c r="AF4" s="172" t="s">
        <v>259</v>
      </c>
      <c r="AG4" s="172" t="s">
        <v>261</v>
      </c>
      <c r="AH4" s="172" t="s">
        <v>266</v>
      </c>
      <c r="AI4" s="172" t="s">
        <v>268</v>
      </c>
      <c r="AJ4" s="172" t="s">
        <v>270</v>
      </c>
      <c r="AK4" s="172" t="s">
        <v>272</v>
      </c>
      <c r="AL4" s="172" t="s">
        <v>244</v>
      </c>
      <c r="AM4" s="172" t="s">
        <v>259</v>
      </c>
      <c r="AN4" s="172" t="s">
        <v>261</v>
      </c>
      <c r="AO4" s="172" t="s">
        <v>244</v>
      </c>
      <c r="AP4" s="172" t="s">
        <v>259</v>
      </c>
      <c r="AQ4" s="172" t="s">
        <v>261</v>
      </c>
      <c r="AR4" s="172" t="s">
        <v>270</v>
      </c>
    </row>
    <row r="5" spans="1:44" ht="25.5" customHeight="1" x14ac:dyDescent="0.15">
      <c r="A5" s="172" t="s">
        <v>170</v>
      </c>
      <c r="B5" s="172" t="s">
        <v>590</v>
      </c>
      <c r="C5" s="172" t="s">
        <v>593</v>
      </c>
      <c r="D5" s="172" t="s">
        <v>594</v>
      </c>
      <c r="E5" s="172" t="s">
        <v>594</v>
      </c>
      <c r="F5" s="172" t="s">
        <v>595</v>
      </c>
      <c r="G5" s="172" t="s">
        <v>590</v>
      </c>
      <c r="H5" s="172" t="s">
        <v>590</v>
      </c>
      <c r="I5" s="172" t="s">
        <v>590</v>
      </c>
      <c r="J5" s="172" t="s">
        <v>590</v>
      </c>
      <c r="K5" s="172" t="s">
        <v>590</v>
      </c>
      <c r="L5" s="172" t="s">
        <v>590</v>
      </c>
      <c r="M5" s="172" t="s">
        <v>590</v>
      </c>
      <c r="N5" s="172" t="s">
        <v>590</v>
      </c>
      <c r="O5" s="172" t="s">
        <v>593</v>
      </c>
      <c r="P5" s="172" t="s">
        <v>594</v>
      </c>
      <c r="Q5" s="172" t="s">
        <v>594</v>
      </c>
      <c r="R5" s="172" t="s">
        <v>593</v>
      </c>
      <c r="S5" s="172" t="s">
        <v>590</v>
      </c>
      <c r="T5" s="172" t="s">
        <v>595</v>
      </c>
      <c r="U5" s="172" t="s">
        <v>590</v>
      </c>
      <c r="V5" s="172" t="s">
        <v>590</v>
      </c>
      <c r="W5" s="172" t="s">
        <v>593</v>
      </c>
      <c r="X5" s="172" t="s">
        <v>594</v>
      </c>
      <c r="Y5" s="172" t="s">
        <v>590</v>
      </c>
      <c r="Z5" s="172" t="s">
        <v>593</v>
      </c>
      <c r="AA5" s="172" t="s">
        <v>590</v>
      </c>
      <c r="AB5" s="172" t="s">
        <v>593</v>
      </c>
      <c r="AC5" s="172" t="s">
        <v>593</v>
      </c>
      <c r="AD5" s="172" t="s">
        <v>594</v>
      </c>
      <c r="AE5" s="172" t="s">
        <v>595</v>
      </c>
      <c r="AF5" s="172" t="s">
        <v>590</v>
      </c>
      <c r="AG5" s="172" t="s">
        <v>590</v>
      </c>
      <c r="AH5" s="172" t="s">
        <v>590</v>
      </c>
      <c r="AI5" s="172" t="s">
        <v>590</v>
      </c>
      <c r="AJ5" s="172" t="s">
        <v>590</v>
      </c>
      <c r="AK5" s="172" t="s">
        <v>590</v>
      </c>
      <c r="AL5" s="172" t="s">
        <v>590</v>
      </c>
      <c r="AM5" s="172" t="s">
        <v>590</v>
      </c>
      <c r="AN5" s="172" t="s">
        <v>590</v>
      </c>
      <c r="AO5" s="172" t="s">
        <v>590</v>
      </c>
      <c r="AP5" s="172" t="s">
        <v>590</v>
      </c>
      <c r="AQ5" s="172" t="s">
        <v>590</v>
      </c>
      <c r="AR5" s="172" t="s">
        <v>590</v>
      </c>
    </row>
    <row r="6" spans="1:44" ht="25.5" customHeight="1" x14ac:dyDescent="0.15">
      <c r="A6" s="172" t="s">
        <v>122</v>
      </c>
      <c r="B6" s="1" t="s">
        <v>591</v>
      </c>
      <c r="C6" s="1" t="s">
        <v>591</v>
      </c>
      <c r="D6" s="1" t="s">
        <v>591</v>
      </c>
      <c r="E6" s="1" t="s">
        <v>591</v>
      </c>
      <c r="F6" s="1" t="s">
        <v>591</v>
      </c>
      <c r="G6" s="1" t="s">
        <v>591</v>
      </c>
      <c r="H6" s="1" t="s">
        <v>591</v>
      </c>
      <c r="I6" s="1" t="s">
        <v>591</v>
      </c>
      <c r="J6" s="1" t="s">
        <v>591</v>
      </c>
      <c r="K6" s="1" t="s">
        <v>591</v>
      </c>
      <c r="L6" s="1" t="s">
        <v>591</v>
      </c>
      <c r="M6" s="1" t="s">
        <v>591</v>
      </c>
      <c r="N6" s="1" t="s">
        <v>596</v>
      </c>
      <c r="O6" s="1" t="s">
        <v>596</v>
      </c>
      <c r="P6" s="1" t="s">
        <v>596</v>
      </c>
      <c r="Q6" s="1" t="s">
        <v>596</v>
      </c>
      <c r="R6" s="1" t="s">
        <v>597</v>
      </c>
      <c r="S6" s="1" t="s">
        <v>598</v>
      </c>
      <c r="T6" s="1" t="s">
        <v>598</v>
      </c>
      <c r="U6" s="1" t="s">
        <v>598</v>
      </c>
      <c r="V6" s="1" t="s">
        <v>599</v>
      </c>
      <c r="W6" s="1" t="s">
        <v>599</v>
      </c>
      <c r="X6" s="1" t="s">
        <v>599</v>
      </c>
      <c r="Y6" s="1" t="s">
        <v>599</v>
      </c>
      <c r="Z6" s="1" t="s">
        <v>600</v>
      </c>
      <c r="AA6" s="1" t="s">
        <v>601</v>
      </c>
      <c r="AB6" s="1" t="s">
        <v>601</v>
      </c>
      <c r="AC6" s="1" t="s">
        <v>602</v>
      </c>
      <c r="AD6" s="1" t="s">
        <v>602</v>
      </c>
      <c r="AE6" s="1" t="s">
        <v>602</v>
      </c>
      <c r="AF6" s="1" t="s">
        <v>602</v>
      </c>
      <c r="AG6" s="1" t="s">
        <v>602</v>
      </c>
      <c r="AH6" s="1" t="s">
        <v>602</v>
      </c>
      <c r="AI6" s="1" t="s">
        <v>602</v>
      </c>
      <c r="AJ6" s="1" t="s">
        <v>602</v>
      </c>
      <c r="AK6" s="1" t="s">
        <v>602</v>
      </c>
      <c r="AL6" s="1" t="s">
        <v>612</v>
      </c>
      <c r="AM6" s="1" t="s">
        <v>612</v>
      </c>
      <c r="AN6" s="1" t="s">
        <v>612</v>
      </c>
      <c r="AO6" s="1" t="s">
        <v>632</v>
      </c>
      <c r="AP6" s="1" t="s">
        <v>632</v>
      </c>
      <c r="AQ6" s="1" t="s">
        <v>632</v>
      </c>
      <c r="AR6" s="1" t="s">
        <v>632</v>
      </c>
    </row>
    <row r="7" spans="1:44" ht="35.1" customHeight="1" x14ac:dyDescent="0.15">
      <c r="A7" s="1" t="s">
        <v>227</v>
      </c>
      <c r="B7" s="173">
        <v>215.33</v>
      </c>
      <c r="C7" s="173">
        <v>190.33</v>
      </c>
      <c r="D7" s="173">
        <v>215.33</v>
      </c>
      <c r="E7" s="173">
        <v>253.33</v>
      </c>
      <c r="F7" s="173">
        <v>253.33</v>
      </c>
      <c r="G7" s="173">
        <v>253.33</v>
      </c>
      <c r="H7" s="173">
        <v>253.33</v>
      </c>
      <c r="I7" s="173">
        <v>253.33</v>
      </c>
      <c r="J7" s="173">
        <v>253.33</v>
      </c>
      <c r="K7" s="173">
        <v>253.33</v>
      </c>
      <c r="L7" s="173">
        <v>253.33</v>
      </c>
      <c r="M7" s="173">
        <v>253.33</v>
      </c>
      <c r="N7" s="173">
        <v>1</v>
      </c>
      <c r="O7" s="173">
        <v>1</v>
      </c>
      <c r="P7" s="173">
        <v>1</v>
      </c>
      <c r="Q7" s="173">
        <v>1</v>
      </c>
      <c r="R7" s="173">
        <v>55</v>
      </c>
      <c r="S7" s="173">
        <v>25</v>
      </c>
      <c r="T7" s="173">
        <v>1</v>
      </c>
      <c r="U7" s="173">
        <v>2</v>
      </c>
      <c r="V7" s="173">
        <v>1</v>
      </c>
      <c r="W7" s="173">
        <v>1</v>
      </c>
      <c r="X7" s="173">
        <v>1</v>
      </c>
      <c r="Y7" s="173">
        <v>1</v>
      </c>
      <c r="Z7" s="173">
        <v>190.33</v>
      </c>
      <c r="AA7" s="173">
        <v>1</v>
      </c>
      <c r="AB7" s="173">
        <v>1</v>
      </c>
      <c r="AC7" s="173">
        <v>1</v>
      </c>
      <c r="AD7" s="173">
        <v>1</v>
      </c>
      <c r="AE7" s="173">
        <v>1</v>
      </c>
      <c r="AF7" s="173">
        <v>1</v>
      </c>
      <c r="AG7" s="173">
        <v>1</v>
      </c>
      <c r="AH7" s="173">
        <v>1</v>
      </c>
      <c r="AI7" s="173">
        <v>1</v>
      </c>
      <c r="AJ7" s="173">
        <v>1</v>
      </c>
      <c r="AK7" s="173">
        <v>1</v>
      </c>
      <c r="AL7" s="173">
        <v>215.33</v>
      </c>
      <c r="AM7" s="173">
        <v>253.33</v>
      </c>
      <c r="AN7" s="173">
        <v>253.33</v>
      </c>
      <c r="AO7" s="173">
        <v>1</v>
      </c>
      <c r="AP7" s="173">
        <v>1</v>
      </c>
      <c r="AQ7" s="173">
        <v>1</v>
      </c>
      <c r="AR7" s="173">
        <v>1</v>
      </c>
    </row>
    <row r="8" spans="1:44" ht="6" customHeight="1" x14ac:dyDescent="0.15">
      <c r="A8" s="174"/>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row>
    <row r="9" spans="1:44" ht="25.5" customHeight="1" x14ac:dyDescent="0.15">
      <c r="A9" s="172" t="s">
        <v>228</v>
      </c>
      <c r="B9" s="1" t="s">
        <v>592</v>
      </c>
      <c r="C9" s="1" t="s">
        <v>592</v>
      </c>
      <c r="D9" s="1" t="s">
        <v>592</v>
      </c>
      <c r="E9" s="1" t="s">
        <v>592</v>
      </c>
      <c r="F9" s="1" t="s">
        <v>592</v>
      </c>
      <c r="G9" s="1" t="s">
        <v>592</v>
      </c>
      <c r="H9" s="1" t="s">
        <v>592</v>
      </c>
      <c r="I9" s="1" t="s">
        <v>592</v>
      </c>
      <c r="J9" s="1" t="s">
        <v>592</v>
      </c>
      <c r="K9" s="1" t="s">
        <v>592</v>
      </c>
      <c r="L9" s="1" t="s">
        <v>592</v>
      </c>
      <c r="M9" s="1" t="s">
        <v>592</v>
      </c>
      <c r="N9" s="1" t="s">
        <v>592</v>
      </c>
      <c r="O9" s="1" t="s">
        <v>592</v>
      </c>
      <c r="P9" s="1" t="s">
        <v>592</v>
      </c>
      <c r="Q9" s="1" t="s">
        <v>592</v>
      </c>
      <c r="R9" s="1" t="s">
        <v>592</v>
      </c>
      <c r="S9" s="1" t="s">
        <v>592</v>
      </c>
      <c r="T9" s="1" t="s">
        <v>592</v>
      </c>
      <c r="U9" s="1" t="s">
        <v>592</v>
      </c>
      <c r="V9" s="1" t="s">
        <v>592</v>
      </c>
      <c r="W9" s="1" t="s">
        <v>592</v>
      </c>
      <c r="X9" s="1" t="s">
        <v>592</v>
      </c>
      <c r="Y9" s="1" t="s">
        <v>592</v>
      </c>
      <c r="Z9" s="1" t="s">
        <v>592</v>
      </c>
      <c r="AA9" s="1" t="s">
        <v>592</v>
      </c>
      <c r="AB9" s="1" t="s">
        <v>592</v>
      </c>
      <c r="AC9" s="1" t="s">
        <v>592</v>
      </c>
      <c r="AD9" s="1" t="s">
        <v>592</v>
      </c>
      <c r="AE9" s="1" t="s">
        <v>592</v>
      </c>
      <c r="AF9" s="1" t="s">
        <v>592</v>
      </c>
      <c r="AG9" s="1" t="s">
        <v>592</v>
      </c>
      <c r="AH9" s="1" t="s">
        <v>592</v>
      </c>
      <c r="AI9" s="1" t="s">
        <v>592</v>
      </c>
      <c r="AJ9" s="1" t="s">
        <v>592</v>
      </c>
      <c r="AK9" s="1" t="s">
        <v>592</v>
      </c>
      <c r="AL9" s="1" t="s">
        <v>592</v>
      </c>
      <c r="AM9" s="1" t="s">
        <v>592</v>
      </c>
      <c r="AN9" s="1" t="s">
        <v>592</v>
      </c>
      <c r="AO9" s="1" t="s">
        <v>592</v>
      </c>
      <c r="AP9" s="1" t="s">
        <v>592</v>
      </c>
      <c r="AQ9" s="1" t="s">
        <v>592</v>
      </c>
      <c r="AR9" s="1" t="s">
        <v>592</v>
      </c>
    </row>
    <row r="10" spans="1:44" ht="15" customHeight="1" x14ac:dyDescent="0.15">
      <c r="A10" s="175">
        <v>12</v>
      </c>
      <c r="B10" s="176">
        <f t="shared" ref="B10:B17" si="0">ROUND($B$7/5*A10,2)</f>
        <v>516.79</v>
      </c>
      <c r="C10" s="176">
        <f t="shared" ref="C10:C17" si="1">ROUND($C$7/5*A10,2)</f>
        <v>456.79</v>
      </c>
      <c r="D10" s="176">
        <f t="shared" ref="D10:D17" si="2">ROUND($D$7/5*A10,2)</f>
        <v>516.79</v>
      </c>
      <c r="E10" s="176">
        <f t="shared" ref="E10:E17" si="3">ROUND($E$7/5*A10,2)</f>
        <v>607.99</v>
      </c>
      <c r="F10" s="176">
        <f t="shared" ref="F10:F17" si="4">ROUND($F$7/5*A10,2)</f>
        <v>607.99</v>
      </c>
      <c r="G10" s="176">
        <f t="shared" ref="G10:G17" si="5">ROUND($G$7/5*A10,2)</f>
        <v>607.99</v>
      </c>
      <c r="H10" s="176">
        <f t="shared" ref="H10:H17" si="6">ROUND($H$7/5*A10,2)</f>
        <v>607.99</v>
      </c>
      <c r="I10" s="176">
        <f t="shared" ref="I10:I17" si="7">ROUND($I$7/5*A10,2)</f>
        <v>607.99</v>
      </c>
      <c r="J10" s="176">
        <f t="shared" ref="J10:J17" si="8">ROUND($J$7/5*A10,2)</f>
        <v>607.99</v>
      </c>
      <c r="K10" s="176">
        <f t="shared" ref="K10:K17" si="9">ROUND($K$7/5*A10,2)</f>
        <v>607.99</v>
      </c>
      <c r="L10" s="176">
        <f t="shared" ref="L10:L17" si="10">ROUND($L$7/5*A10,2)</f>
        <v>607.99</v>
      </c>
      <c r="M10" s="176">
        <f t="shared" ref="M10:M17" si="11">ROUND($M$7/5*A10,2)</f>
        <v>607.99</v>
      </c>
      <c r="N10" s="177"/>
      <c r="O10" s="177"/>
      <c r="P10" s="177"/>
      <c r="Q10" s="177"/>
      <c r="R10" s="176">
        <f t="shared" ref="R10:R17" si="12">ROUND($R$7/5*A10,2)</f>
        <v>132</v>
      </c>
      <c r="S10" s="176">
        <f t="shared" ref="S10:S17" si="13">ROUND($S$7/5*A10,2)</f>
        <v>60</v>
      </c>
      <c r="T10" s="176">
        <f t="shared" ref="T10:T17" si="14">ROUND($T$7/5*A10,2)</f>
        <v>2.4</v>
      </c>
      <c r="U10" s="176">
        <f t="shared" ref="U10:U17" si="15">ROUND($U$7/5*A10,2)</f>
        <v>4.8</v>
      </c>
      <c r="V10" s="176">
        <f t="shared" ref="V10:V17" si="16">ROUND($V$7/5*A10,2)</f>
        <v>2.4</v>
      </c>
      <c r="W10" s="176">
        <f t="shared" ref="W10:W17" si="17">ROUND($W$7/5*A10,2)</f>
        <v>2.4</v>
      </c>
      <c r="X10" s="176">
        <f t="shared" ref="X10:X17" si="18">ROUND($X$7/5*A10,2)</f>
        <v>2.4</v>
      </c>
      <c r="Y10" s="176">
        <f t="shared" ref="Y10:Y17" si="19">ROUND($Y$7/5*A10,2)</f>
        <v>2.4</v>
      </c>
      <c r="Z10" s="176">
        <f t="shared" ref="Z10:Z17" si="20">ROUND($Z$7/5*A10,2)</f>
        <v>456.79</v>
      </c>
      <c r="AA10" s="173">
        <f t="shared" ref="AA10:AA17" si="21">ROUND($AA$7/5*A10,2)</f>
        <v>2.4</v>
      </c>
      <c r="AB10" s="173">
        <f t="shared" ref="AB10:AB17" si="22">ROUND($AB$7/5*A10,2)</f>
        <v>2.4</v>
      </c>
      <c r="AC10" s="176">
        <f t="shared" ref="AC10:AC17" si="23">ROUND($AC$7/5*A10,2)</f>
        <v>2.4</v>
      </c>
      <c r="AD10" s="176">
        <f t="shared" ref="AD10:AD17" si="24">ROUND($AD$7/5*A10,2)</f>
        <v>2.4</v>
      </c>
      <c r="AE10" s="176">
        <f t="shared" ref="AE10:AE17" si="25">ROUND($AE$7/5*A10,2)</f>
        <v>2.4</v>
      </c>
      <c r="AF10" s="176">
        <f t="shared" ref="AF10:AF17" si="26">ROUND($AF$7/5*A10,2)</f>
        <v>2.4</v>
      </c>
      <c r="AG10" s="176">
        <f t="shared" ref="AG10:AG17" si="27">ROUND($AG$7/5*A10,2)</f>
        <v>2.4</v>
      </c>
      <c r="AH10" s="176">
        <f t="shared" ref="AH10:AH17" si="28">ROUND($AH$7/5*A10,2)</f>
        <v>2.4</v>
      </c>
      <c r="AI10" s="176">
        <f t="shared" ref="AI10:AI17" si="29">ROUND($AI$7/5*A10,2)</f>
        <v>2.4</v>
      </c>
      <c r="AJ10" s="176">
        <f t="shared" ref="AJ10:AJ17" si="30">ROUND($AJ$7/5*A10,2)</f>
        <v>2.4</v>
      </c>
      <c r="AK10" s="176">
        <f t="shared" ref="AK10:AK17" si="31">ROUND($AK$7/5*A10,2)</f>
        <v>2.4</v>
      </c>
      <c r="AL10" s="176">
        <f>ROUND($AL$7/5*A10,2)</f>
        <v>516.79</v>
      </c>
      <c r="AM10" s="176">
        <f>ROUND($AM$7/5*B10,2)</f>
        <v>26183.68</v>
      </c>
      <c r="AN10" s="176">
        <f>ROUND($AN$7/5*C10,2)</f>
        <v>23143.72</v>
      </c>
      <c r="AO10" s="176">
        <v>0</v>
      </c>
      <c r="AP10" s="176">
        <v>0</v>
      </c>
      <c r="AQ10" s="176">
        <v>0</v>
      </c>
      <c r="AR10" s="176">
        <v>0</v>
      </c>
    </row>
    <row r="11" spans="1:44" ht="15" customHeight="1" x14ac:dyDescent="0.15">
      <c r="A11" s="175">
        <v>10</v>
      </c>
      <c r="B11" s="176">
        <f t="shared" si="0"/>
        <v>430.66</v>
      </c>
      <c r="C11" s="176">
        <f t="shared" si="1"/>
        <v>380.66</v>
      </c>
      <c r="D11" s="176">
        <f t="shared" si="2"/>
        <v>430.66</v>
      </c>
      <c r="E11" s="176">
        <f t="shared" si="3"/>
        <v>506.66</v>
      </c>
      <c r="F11" s="176">
        <f t="shared" si="4"/>
        <v>506.66</v>
      </c>
      <c r="G11" s="176">
        <f t="shared" si="5"/>
        <v>506.66</v>
      </c>
      <c r="H11" s="176">
        <f t="shared" si="6"/>
        <v>506.66</v>
      </c>
      <c r="I11" s="176">
        <f t="shared" si="7"/>
        <v>506.66</v>
      </c>
      <c r="J11" s="176">
        <f t="shared" si="8"/>
        <v>506.66</v>
      </c>
      <c r="K11" s="176">
        <f t="shared" si="9"/>
        <v>506.66</v>
      </c>
      <c r="L11" s="176">
        <f t="shared" si="10"/>
        <v>506.66</v>
      </c>
      <c r="M11" s="176">
        <f t="shared" si="11"/>
        <v>506.66</v>
      </c>
      <c r="N11" s="177"/>
      <c r="O11" s="177"/>
      <c r="P11" s="177"/>
      <c r="Q11" s="177"/>
      <c r="R11" s="176">
        <f t="shared" si="12"/>
        <v>110</v>
      </c>
      <c r="S11" s="176">
        <f t="shared" si="13"/>
        <v>50</v>
      </c>
      <c r="T11" s="176">
        <f t="shared" si="14"/>
        <v>2</v>
      </c>
      <c r="U11" s="176">
        <f t="shared" si="15"/>
        <v>4</v>
      </c>
      <c r="V11" s="176">
        <f t="shared" si="16"/>
        <v>2</v>
      </c>
      <c r="W11" s="176">
        <f t="shared" si="17"/>
        <v>2</v>
      </c>
      <c r="X11" s="176">
        <f t="shared" si="18"/>
        <v>2</v>
      </c>
      <c r="Y11" s="176">
        <f t="shared" si="19"/>
        <v>2</v>
      </c>
      <c r="Z11" s="176">
        <f t="shared" si="20"/>
        <v>380.66</v>
      </c>
      <c r="AA11" s="173">
        <f t="shared" si="21"/>
        <v>2</v>
      </c>
      <c r="AB11" s="173">
        <f t="shared" si="22"/>
        <v>2</v>
      </c>
      <c r="AC11" s="176">
        <f t="shared" si="23"/>
        <v>2</v>
      </c>
      <c r="AD11" s="176">
        <f t="shared" si="24"/>
        <v>2</v>
      </c>
      <c r="AE11" s="176">
        <f t="shared" si="25"/>
        <v>2</v>
      </c>
      <c r="AF11" s="176">
        <f t="shared" si="26"/>
        <v>2</v>
      </c>
      <c r="AG11" s="176">
        <f t="shared" si="27"/>
        <v>2</v>
      </c>
      <c r="AH11" s="176">
        <f t="shared" si="28"/>
        <v>2</v>
      </c>
      <c r="AI11" s="176">
        <f t="shared" si="29"/>
        <v>2</v>
      </c>
      <c r="AJ11" s="176">
        <f t="shared" si="30"/>
        <v>2</v>
      </c>
      <c r="AK11" s="176">
        <f t="shared" si="31"/>
        <v>2</v>
      </c>
      <c r="AL11" s="176">
        <f t="shared" ref="AL11:AL15" si="32">ROUND($AL$7/5*A11,2)</f>
        <v>430.66</v>
      </c>
      <c r="AM11" s="176">
        <f t="shared" ref="AM11:AM15" si="33">ROUND($AM$7/5*B11,2)</f>
        <v>21819.82</v>
      </c>
      <c r="AN11" s="176">
        <f t="shared" ref="AN11:AN15" si="34">ROUND($AN$7/5*C11,2)</f>
        <v>19286.52</v>
      </c>
      <c r="AO11" s="176">
        <v>0</v>
      </c>
      <c r="AP11" s="176">
        <v>0</v>
      </c>
      <c r="AQ11" s="176">
        <v>0</v>
      </c>
      <c r="AR11" s="176">
        <v>0</v>
      </c>
    </row>
    <row r="12" spans="1:44" ht="15" customHeight="1" x14ac:dyDescent="0.15">
      <c r="A12" s="175">
        <v>7</v>
      </c>
      <c r="B12" s="176">
        <f t="shared" si="0"/>
        <v>301.45999999999998</v>
      </c>
      <c r="C12" s="176">
        <f t="shared" si="1"/>
        <v>266.45999999999998</v>
      </c>
      <c r="D12" s="176">
        <f t="shared" si="2"/>
        <v>301.45999999999998</v>
      </c>
      <c r="E12" s="176">
        <f t="shared" si="3"/>
        <v>354.66</v>
      </c>
      <c r="F12" s="176">
        <f t="shared" si="4"/>
        <v>354.66</v>
      </c>
      <c r="G12" s="176">
        <f t="shared" si="5"/>
        <v>354.66</v>
      </c>
      <c r="H12" s="176">
        <f t="shared" si="6"/>
        <v>354.66</v>
      </c>
      <c r="I12" s="176">
        <f t="shared" si="7"/>
        <v>354.66</v>
      </c>
      <c r="J12" s="176">
        <f t="shared" si="8"/>
        <v>354.66</v>
      </c>
      <c r="K12" s="176">
        <f t="shared" si="9"/>
        <v>354.66</v>
      </c>
      <c r="L12" s="176">
        <f t="shared" si="10"/>
        <v>354.66</v>
      </c>
      <c r="M12" s="176">
        <f t="shared" si="11"/>
        <v>354.66</v>
      </c>
      <c r="N12" s="177"/>
      <c r="O12" s="177"/>
      <c r="P12" s="177"/>
      <c r="Q12" s="177"/>
      <c r="R12" s="176">
        <f t="shared" si="12"/>
        <v>77</v>
      </c>
      <c r="S12" s="176">
        <f t="shared" si="13"/>
        <v>35</v>
      </c>
      <c r="T12" s="176">
        <f t="shared" si="14"/>
        <v>1.4</v>
      </c>
      <c r="U12" s="176">
        <f t="shared" si="15"/>
        <v>2.8</v>
      </c>
      <c r="V12" s="176">
        <f t="shared" si="16"/>
        <v>1.4</v>
      </c>
      <c r="W12" s="176">
        <f t="shared" si="17"/>
        <v>1.4</v>
      </c>
      <c r="X12" s="176">
        <f t="shared" si="18"/>
        <v>1.4</v>
      </c>
      <c r="Y12" s="176">
        <f t="shared" si="19"/>
        <v>1.4</v>
      </c>
      <c r="Z12" s="176">
        <f t="shared" si="20"/>
        <v>266.45999999999998</v>
      </c>
      <c r="AA12" s="173">
        <f t="shared" si="21"/>
        <v>1.4</v>
      </c>
      <c r="AB12" s="173">
        <f t="shared" si="22"/>
        <v>1.4</v>
      </c>
      <c r="AC12" s="176">
        <f t="shared" si="23"/>
        <v>1.4</v>
      </c>
      <c r="AD12" s="176">
        <f t="shared" si="24"/>
        <v>1.4</v>
      </c>
      <c r="AE12" s="176">
        <f t="shared" si="25"/>
        <v>1.4</v>
      </c>
      <c r="AF12" s="176">
        <f t="shared" si="26"/>
        <v>1.4</v>
      </c>
      <c r="AG12" s="176">
        <f t="shared" si="27"/>
        <v>1.4</v>
      </c>
      <c r="AH12" s="176">
        <f t="shared" si="28"/>
        <v>1.4</v>
      </c>
      <c r="AI12" s="176">
        <f t="shared" si="29"/>
        <v>1.4</v>
      </c>
      <c r="AJ12" s="176">
        <f t="shared" si="30"/>
        <v>1.4</v>
      </c>
      <c r="AK12" s="176">
        <f t="shared" si="31"/>
        <v>1.4</v>
      </c>
      <c r="AL12" s="176">
        <f t="shared" si="32"/>
        <v>301.45999999999998</v>
      </c>
      <c r="AM12" s="176">
        <f t="shared" si="33"/>
        <v>15273.77</v>
      </c>
      <c r="AN12" s="176">
        <f t="shared" si="34"/>
        <v>13500.46</v>
      </c>
      <c r="AO12" s="176">
        <v>0</v>
      </c>
      <c r="AP12" s="176">
        <v>0</v>
      </c>
      <c r="AQ12" s="176">
        <v>0</v>
      </c>
      <c r="AR12" s="176">
        <v>0</v>
      </c>
    </row>
    <row r="13" spans="1:44" ht="15" customHeight="1" x14ac:dyDescent="0.15">
      <c r="A13" s="175">
        <v>6</v>
      </c>
      <c r="B13" s="176">
        <f t="shared" si="0"/>
        <v>258.39999999999998</v>
      </c>
      <c r="C13" s="176">
        <f t="shared" si="1"/>
        <v>228.4</v>
      </c>
      <c r="D13" s="176">
        <f t="shared" si="2"/>
        <v>258.39999999999998</v>
      </c>
      <c r="E13" s="176">
        <f t="shared" si="3"/>
        <v>304</v>
      </c>
      <c r="F13" s="173">
        <v>303.33</v>
      </c>
      <c r="G13" s="176">
        <f t="shared" si="5"/>
        <v>304</v>
      </c>
      <c r="H13" s="176">
        <f t="shared" si="6"/>
        <v>304</v>
      </c>
      <c r="I13" s="176">
        <f t="shared" si="7"/>
        <v>304</v>
      </c>
      <c r="J13" s="176">
        <f t="shared" si="8"/>
        <v>304</v>
      </c>
      <c r="K13" s="173">
        <v>303.33</v>
      </c>
      <c r="L13" s="176">
        <f t="shared" si="10"/>
        <v>304</v>
      </c>
      <c r="M13" s="176">
        <f t="shared" si="11"/>
        <v>304</v>
      </c>
      <c r="N13" s="177"/>
      <c r="O13" s="177"/>
      <c r="P13" s="177"/>
      <c r="Q13" s="177"/>
      <c r="R13" s="176">
        <f t="shared" si="12"/>
        <v>66</v>
      </c>
      <c r="S13" s="176">
        <f t="shared" si="13"/>
        <v>30</v>
      </c>
      <c r="T13" s="176">
        <f t="shared" si="14"/>
        <v>1.2</v>
      </c>
      <c r="U13" s="176">
        <f t="shared" si="15"/>
        <v>2.4</v>
      </c>
      <c r="V13" s="176">
        <f t="shared" si="16"/>
        <v>1.2</v>
      </c>
      <c r="W13" s="176">
        <f t="shared" si="17"/>
        <v>1.2</v>
      </c>
      <c r="X13" s="176">
        <f t="shared" si="18"/>
        <v>1.2</v>
      </c>
      <c r="Y13" s="176">
        <f t="shared" si="19"/>
        <v>1.2</v>
      </c>
      <c r="Z13" s="176">
        <f t="shared" si="20"/>
        <v>228.4</v>
      </c>
      <c r="AA13" s="173">
        <f t="shared" si="21"/>
        <v>1.2</v>
      </c>
      <c r="AB13" s="173">
        <f t="shared" si="22"/>
        <v>1.2</v>
      </c>
      <c r="AC13" s="176">
        <f t="shared" si="23"/>
        <v>1.2</v>
      </c>
      <c r="AD13" s="176">
        <f t="shared" si="24"/>
        <v>1.2</v>
      </c>
      <c r="AE13" s="176">
        <f t="shared" si="25"/>
        <v>1.2</v>
      </c>
      <c r="AF13" s="176">
        <f t="shared" si="26"/>
        <v>1.2</v>
      </c>
      <c r="AG13" s="176">
        <f t="shared" si="27"/>
        <v>1.2</v>
      </c>
      <c r="AH13" s="176">
        <f t="shared" si="28"/>
        <v>1.2</v>
      </c>
      <c r="AI13" s="176">
        <f t="shared" si="29"/>
        <v>1.2</v>
      </c>
      <c r="AJ13" s="176">
        <f t="shared" si="30"/>
        <v>1.2</v>
      </c>
      <c r="AK13" s="176">
        <f t="shared" si="31"/>
        <v>1.2</v>
      </c>
      <c r="AL13" s="176">
        <f t="shared" si="32"/>
        <v>258.39999999999998</v>
      </c>
      <c r="AM13" s="176">
        <f t="shared" si="33"/>
        <v>13092.09</v>
      </c>
      <c r="AN13" s="176">
        <f t="shared" si="34"/>
        <v>11572.11</v>
      </c>
      <c r="AO13" s="176">
        <v>0</v>
      </c>
      <c r="AP13" s="176">
        <v>0</v>
      </c>
      <c r="AQ13" s="176">
        <v>0</v>
      </c>
      <c r="AR13" s="176">
        <v>0</v>
      </c>
    </row>
    <row r="14" spans="1:44" ht="15" customHeight="1" x14ac:dyDescent="0.15">
      <c r="A14" s="175">
        <v>5</v>
      </c>
      <c r="B14" s="173">
        <f t="shared" si="0"/>
        <v>215.33</v>
      </c>
      <c r="C14" s="173">
        <f t="shared" si="1"/>
        <v>190.33</v>
      </c>
      <c r="D14" s="173">
        <f t="shared" si="2"/>
        <v>215.33</v>
      </c>
      <c r="E14" s="173">
        <f t="shared" si="3"/>
        <v>253.33</v>
      </c>
      <c r="F14" s="176">
        <f t="shared" si="4"/>
        <v>253.33</v>
      </c>
      <c r="G14" s="173">
        <f t="shared" si="5"/>
        <v>253.33</v>
      </c>
      <c r="H14" s="173">
        <f t="shared" si="6"/>
        <v>253.33</v>
      </c>
      <c r="I14" s="176">
        <f t="shared" si="7"/>
        <v>253.33</v>
      </c>
      <c r="J14" s="173">
        <f t="shared" si="8"/>
        <v>253.33</v>
      </c>
      <c r="K14" s="176">
        <f t="shared" si="9"/>
        <v>253.33</v>
      </c>
      <c r="L14" s="173">
        <f t="shared" si="10"/>
        <v>253.33</v>
      </c>
      <c r="M14" s="173">
        <f t="shared" si="11"/>
        <v>253.33</v>
      </c>
      <c r="N14" s="177"/>
      <c r="O14" s="177"/>
      <c r="P14" s="177"/>
      <c r="Q14" s="177"/>
      <c r="R14" s="173">
        <f t="shared" si="12"/>
        <v>55</v>
      </c>
      <c r="S14" s="176">
        <f t="shared" si="13"/>
        <v>25</v>
      </c>
      <c r="T14" s="176">
        <f t="shared" si="14"/>
        <v>1</v>
      </c>
      <c r="U14" s="176">
        <f t="shared" si="15"/>
        <v>2</v>
      </c>
      <c r="V14" s="176">
        <f t="shared" si="16"/>
        <v>1</v>
      </c>
      <c r="W14" s="176">
        <f t="shared" si="17"/>
        <v>1</v>
      </c>
      <c r="X14" s="176">
        <f t="shared" si="18"/>
        <v>1</v>
      </c>
      <c r="Y14" s="176">
        <f t="shared" si="19"/>
        <v>1</v>
      </c>
      <c r="Z14" s="176">
        <f t="shared" si="20"/>
        <v>190.33</v>
      </c>
      <c r="AA14" s="173">
        <f t="shared" si="21"/>
        <v>1</v>
      </c>
      <c r="AB14" s="173">
        <f t="shared" si="22"/>
        <v>1</v>
      </c>
      <c r="AC14" s="176">
        <f t="shared" si="23"/>
        <v>1</v>
      </c>
      <c r="AD14" s="176">
        <f t="shared" si="24"/>
        <v>1</v>
      </c>
      <c r="AE14" s="176">
        <f t="shared" si="25"/>
        <v>1</v>
      </c>
      <c r="AF14" s="176">
        <f t="shared" si="26"/>
        <v>1</v>
      </c>
      <c r="AG14" s="176">
        <f t="shared" si="27"/>
        <v>1</v>
      </c>
      <c r="AH14" s="176">
        <f t="shared" si="28"/>
        <v>1</v>
      </c>
      <c r="AI14" s="176">
        <f t="shared" si="29"/>
        <v>1</v>
      </c>
      <c r="AJ14" s="176">
        <f t="shared" si="30"/>
        <v>1</v>
      </c>
      <c r="AK14" s="176">
        <f t="shared" si="31"/>
        <v>1</v>
      </c>
      <c r="AL14" s="176">
        <f t="shared" si="32"/>
        <v>215.33</v>
      </c>
      <c r="AM14" s="176">
        <f t="shared" si="33"/>
        <v>10909.91</v>
      </c>
      <c r="AN14" s="176">
        <f t="shared" si="34"/>
        <v>9643.26</v>
      </c>
      <c r="AO14" s="176">
        <v>0</v>
      </c>
      <c r="AP14" s="176">
        <v>0</v>
      </c>
      <c r="AQ14" s="176">
        <v>0</v>
      </c>
      <c r="AR14" s="176">
        <v>0</v>
      </c>
    </row>
    <row r="15" spans="1:44" ht="15" customHeight="1" x14ac:dyDescent="0.15">
      <c r="A15" s="175">
        <v>4</v>
      </c>
      <c r="B15" s="176">
        <f t="shared" si="0"/>
        <v>172.26</v>
      </c>
      <c r="C15" s="176">
        <f t="shared" si="1"/>
        <v>152.26</v>
      </c>
      <c r="D15" s="176">
        <f t="shared" si="2"/>
        <v>172.26</v>
      </c>
      <c r="E15" s="176">
        <f t="shared" si="3"/>
        <v>202.66</v>
      </c>
      <c r="F15" s="176">
        <f t="shared" si="4"/>
        <v>202.66</v>
      </c>
      <c r="G15" s="176">
        <f t="shared" si="5"/>
        <v>202.66</v>
      </c>
      <c r="H15" s="176">
        <f t="shared" si="6"/>
        <v>202.66</v>
      </c>
      <c r="I15" s="176">
        <f t="shared" si="7"/>
        <v>202.66</v>
      </c>
      <c r="J15" s="176">
        <f t="shared" si="8"/>
        <v>202.66</v>
      </c>
      <c r="K15" s="176">
        <f t="shared" si="9"/>
        <v>202.66</v>
      </c>
      <c r="L15" s="176">
        <f t="shared" si="10"/>
        <v>202.66</v>
      </c>
      <c r="M15" s="176">
        <f t="shared" si="11"/>
        <v>202.66</v>
      </c>
      <c r="N15" s="177"/>
      <c r="O15" s="177"/>
      <c r="P15" s="177"/>
      <c r="Q15" s="177"/>
      <c r="R15" s="176">
        <f t="shared" si="12"/>
        <v>44</v>
      </c>
      <c r="S15" s="176">
        <f t="shared" si="13"/>
        <v>20</v>
      </c>
      <c r="T15" s="176">
        <f t="shared" si="14"/>
        <v>0.8</v>
      </c>
      <c r="U15" s="176">
        <f t="shared" si="15"/>
        <v>1.6</v>
      </c>
      <c r="V15" s="176">
        <f t="shared" si="16"/>
        <v>0.8</v>
      </c>
      <c r="W15" s="176">
        <f t="shared" si="17"/>
        <v>0.8</v>
      </c>
      <c r="X15" s="176">
        <f t="shared" si="18"/>
        <v>0.8</v>
      </c>
      <c r="Y15" s="176">
        <f t="shared" si="19"/>
        <v>0.8</v>
      </c>
      <c r="Z15" s="176">
        <f t="shared" si="20"/>
        <v>152.26</v>
      </c>
      <c r="AA15" s="173">
        <f t="shared" si="21"/>
        <v>0.8</v>
      </c>
      <c r="AB15" s="173">
        <f t="shared" si="22"/>
        <v>0.8</v>
      </c>
      <c r="AC15" s="176">
        <f t="shared" si="23"/>
        <v>0.8</v>
      </c>
      <c r="AD15" s="176">
        <f t="shared" si="24"/>
        <v>0.8</v>
      </c>
      <c r="AE15" s="176">
        <f t="shared" si="25"/>
        <v>0.8</v>
      </c>
      <c r="AF15" s="176">
        <f t="shared" si="26"/>
        <v>0.8</v>
      </c>
      <c r="AG15" s="176">
        <f t="shared" si="27"/>
        <v>0.8</v>
      </c>
      <c r="AH15" s="176">
        <f t="shared" si="28"/>
        <v>0.8</v>
      </c>
      <c r="AI15" s="176">
        <f t="shared" si="29"/>
        <v>0.8</v>
      </c>
      <c r="AJ15" s="176">
        <f t="shared" si="30"/>
        <v>0.8</v>
      </c>
      <c r="AK15" s="176">
        <f t="shared" si="31"/>
        <v>0.8</v>
      </c>
      <c r="AL15" s="176">
        <f t="shared" si="32"/>
        <v>172.26</v>
      </c>
      <c r="AM15" s="176">
        <f t="shared" si="33"/>
        <v>8727.73</v>
      </c>
      <c r="AN15" s="176">
        <f t="shared" si="34"/>
        <v>7714.41</v>
      </c>
      <c r="AO15" s="176">
        <v>0</v>
      </c>
      <c r="AP15" s="176">
        <v>0</v>
      </c>
      <c r="AQ15" s="176">
        <v>0</v>
      </c>
      <c r="AR15" s="176">
        <v>0</v>
      </c>
    </row>
    <row r="16" spans="1:44" ht="15" customHeight="1" x14ac:dyDescent="0.15">
      <c r="A16" s="175">
        <v>3</v>
      </c>
      <c r="B16" s="176">
        <f t="shared" si="0"/>
        <v>129.19999999999999</v>
      </c>
      <c r="C16" s="176">
        <f t="shared" si="1"/>
        <v>114.2</v>
      </c>
      <c r="D16" s="176">
        <f t="shared" si="2"/>
        <v>129.19999999999999</v>
      </c>
      <c r="E16" s="176">
        <f t="shared" si="3"/>
        <v>152</v>
      </c>
      <c r="F16" s="176">
        <f t="shared" si="4"/>
        <v>152</v>
      </c>
      <c r="G16" s="176">
        <f t="shared" si="5"/>
        <v>152</v>
      </c>
      <c r="H16" s="176">
        <f t="shared" si="6"/>
        <v>152</v>
      </c>
      <c r="I16" s="176">
        <f t="shared" si="7"/>
        <v>152</v>
      </c>
      <c r="J16" s="176">
        <f t="shared" si="8"/>
        <v>152</v>
      </c>
      <c r="K16" s="176">
        <f t="shared" si="9"/>
        <v>152</v>
      </c>
      <c r="L16" s="176">
        <f t="shared" si="10"/>
        <v>152</v>
      </c>
      <c r="M16" s="176">
        <f t="shared" si="11"/>
        <v>152</v>
      </c>
      <c r="N16" s="177"/>
      <c r="O16" s="177"/>
      <c r="P16" s="177"/>
      <c r="Q16" s="177"/>
      <c r="R16" s="176">
        <f t="shared" si="12"/>
        <v>33</v>
      </c>
      <c r="S16" s="176">
        <f t="shared" si="13"/>
        <v>15</v>
      </c>
      <c r="T16" s="176">
        <f t="shared" si="14"/>
        <v>0.6</v>
      </c>
      <c r="U16" s="176">
        <f t="shared" si="15"/>
        <v>1.2</v>
      </c>
      <c r="V16" s="176">
        <f t="shared" si="16"/>
        <v>0.6</v>
      </c>
      <c r="W16" s="176">
        <f t="shared" si="17"/>
        <v>0.6</v>
      </c>
      <c r="X16" s="176">
        <f t="shared" si="18"/>
        <v>0.6</v>
      </c>
      <c r="Y16" s="176">
        <f t="shared" si="19"/>
        <v>0.6</v>
      </c>
      <c r="Z16" s="176">
        <f t="shared" si="20"/>
        <v>114.2</v>
      </c>
      <c r="AA16" s="173">
        <f t="shared" si="21"/>
        <v>0.6</v>
      </c>
      <c r="AB16" s="173">
        <f t="shared" si="22"/>
        <v>0.6</v>
      </c>
      <c r="AC16" s="176">
        <f t="shared" si="23"/>
        <v>0.6</v>
      </c>
      <c r="AD16" s="176">
        <f t="shared" si="24"/>
        <v>0.6</v>
      </c>
      <c r="AE16" s="176">
        <f t="shared" si="25"/>
        <v>0.6</v>
      </c>
      <c r="AF16" s="176">
        <f t="shared" si="26"/>
        <v>0.6</v>
      </c>
      <c r="AG16" s="176">
        <f t="shared" si="27"/>
        <v>0.6</v>
      </c>
      <c r="AH16" s="176">
        <f t="shared" si="28"/>
        <v>0.6</v>
      </c>
      <c r="AI16" s="176">
        <f t="shared" si="29"/>
        <v>0.6</v>
      </c>
      <c r="AJ16" s="176">
        <f t="shared" si="30"/>
        <v>0.6</v>
      </c>
      <c r="AK16" s="176">
        <f t="shared" si="31"/>
        <v>0.6</v>
      </c>
      <c r="AL16" s="176">
        <f t="shared" ref="AL16:AL17" si="35">ROUND($AL$7/5*A16,2)</f>
        <v>129.19999999999999</v>
      </c>
      <c r="AM16" s="176">
        <f t="shared" ref="AM16:AM17" si="36">ROUND($AM$7/5*B16,2)</f>
        <v>6546.05</v>
      </c>
      <c r="AN16" s="176">
        <f t="shared" ref="AN16:AN17" si="37">ROUND($AN$7/5*C16,2)</f>
        <v>5786.06</v>
      </c>
      <c r="AO16" s="176">
        <v>0</v>
      </c>
      <c r="AP16" s="176">
        <v>0</v>
      </c>
      <c r="AQ16" s="176">
        <v>0</v>
      </c>
      <c r="AR16" s="176">
        <v>0</v>
      </c>
    </row>
    <row r="17" spans="1:44" ht="15" customHeight="1" x14ac:dyDescent="0.15">
      <c r="A17" s="175">
        <v>2.5</v>
      </c>
      <c r="B17" s="176">
        <f t="shared" si="0"/>
        <v>107.67</v>
      </c>
      <c r="C17" s="176">
        <f t="shared" si="1"/>
        <v>95.17</v>
      </c>
      <c r="D17" s="176">
        <f t="shared" si="2"/>
        <v>107.67</v>
      </c>
      <c r="E17" s="176">
        <f t="shared" si="3"/>
        <v>126.67</v>
      </c>
      <c r="F17" s="176">
        <f t="shared" si="4"/>
        <v>126.67</v>
      </c>
      <c r="G17" s="176">
        <f t="shared" si="5"/>
        <v>126.67</v>
      </c>
      <c r="H17" s="176">
        <f t="shared" si="6"/>
        <v>126.67</v>
      </c>
      <c r="I17" s="176">
        <f t="shared" si="7"/>
        <v>126.67</v>
      </c>
      <c r="J17" s="176">
        <f t="shared" si="8"/>
        <v>126.67</v>
      </c>
      <c r="K17" s="176">
        <f t="shared" si="9"/>
        <v>126.67</v>
      </c>
      <c r="L17" s="176">
        <f t="shared" si="10"/>
        <v>126.67</v>
      </c>
      <c r="M17" s="176">
        <f t="shared" si="11"/>
        <v>126.67</v>
      </c>
      <c r="N17" s="177"/>
      <c r="O17" s="177"/>
      <c r="P17" s="177"/>
      <c r="Q17" s="177"/>
      <c r="R17" s="173">
        <f t="shared" si="12"/>
        <v>27.5</v>
      </c>
      <c r="S17" s="176">
        <f t="shared" si="13"/>
        <v>12.5</v>
      </c>
      <c r="T17" s="176">
        <f t="shared" si="14"/>
        <v>0.5</v>
      </c>
      <c r="U17" s="176">
        <f t="shared" si="15"/>
        <v>1</v>
      </c>
      <c r="V17" s="176">
        <f t="shared" si="16"/>
        <v>0.5</v>
      </c>
      <c r="W17" s="176">
        <f t="shared" si="17"/>
        <v>0.5</v>
      </c>
      <c r="X17" s="176">
        <f t="shared" si="18"/>
        <v>0.5</v>
      </c>
      <c r="Y17" s="176">
        <f t="shared" si="19"/>
        <v>0.5</v>
      </c>
      <c r="Z17" s="176">
        <f t="shared" si="20"/>
        <v>95.17</v>
      </c>
      <c r="AA17" s="173">
        <f t="shared" si="21"/>
        <v>0.5</v>
      </c>
      <c r="AB17" s="173">
        <f t="shared" si="22"/>
        <v>0.5</v>
      </c>
      <c r="AC17" s="176">
        <f t="shared" si="23"/>
        <v>0.5</v>
      </c>
      <c r="AD17" s="176">
        <f t="shared" si="24"/>
        <v>0.5</v>
      </c>
      <c r="AE17" s="176">
        <f t="shared" si="25"/>
        <v>0.5</v>
      </c>
      <c r="AF17" s="176">
        <f t="shared" si="26"/>
        <v>0.5</v>
      </c>
      <c r="AG17" s="176">
        <f t="shared" si="27"/>
        <v>0.5</v>
      </c>
      <c r="AH17" s="176">
        <f t="shared" si="28"/>
        <v>0.5</v>
      </c>
      <c r="AI17" s="176">
        <f t="shared" si="29"/>
        <v>0.5</v>
      </c>
      <c r="AJ17" s="176">
        <f t="shared" si="30"/>
        <v>0.5</v>
      </c>
      <c r="AK17" s="176">
        <f t="shared" si="31"/>
        <v>0.5</v>
      </c>
      <c r="AL17" s="176">
        <f t="shared" si="35"/>
        <v>107.67</v>
      </c>
      <c r="AM17" s="176">
        <f t="shared" si="36"/>
        <v>5455.21</v>
      </c>
      <c r="AN17" s="176">
        <f t="shared" si="37"/>
        <v>4821.88</v>
      </c>
      <c r="AO17" s="176">
        <v>0</v>
      </c>
      <c r="AP17" s="176">
        <v>0</v>
      </c>
      <c r="AQ17" s="176">
        <v>0</v>
      </c>
      <c r="AR17" s="176">
        <v>0</v>
      </c>
    </row>
    <row r="18" spans="1:44" ht="15" customHeight="1" x14ac:dyDescent="0.15">
      <c r="A18" s="175">
        <v>2</v>
      </c>
      <c r="B18" s="176">
        <f t="shared" ref="B18:M18" si="38">ROUND(B7*104.29/251,2)</f>
        <v>89.47</v>
      </c>
      <c r="C18" s="173">
        <f t="shared" si="38"/>
        <v>79.08</v>
      </c>
      <c r="D18" s="176">
        <f t="shared" si="38"/>
        <v>89.47</v>
      </c>
      <c r="E18" s="173">
        <f t="shared" si="38"/>
        <v>105.26</v>
      </c>
      <c r="F18" s="176">
        <f t="shared" si="38"/>
        <v>105.26</v>
      </c>
      <c r="G18" s="173">
        <f t="shared" si="38"/>
        <v>105.26</v>
      </c>
      <c r="H18" s="176">
        <f t="shared" si="38"/>
        <v>105.26</v>
      </c>
      <c r="I18" s="176">
        <f t="shared" si="38"/>
        <v>105.26</v>
      </c>
      <c r="J18" s="176">
        <f t="shared" si="38"/>
        <v>105.26</v>
      </c>
      <c r="K18" s="176">
        <f t="shared" si="38"/>
        <v>105.26</v>
      </c>
      <c r="L18" s="173">
        <f t="shared" si="38"/>
        <v>105.26</v>
      </c>
      <c r="M18" s="173">
        <f t="shared" si="38"/>
        <v>105.26</v>
      </c>
      <c r="N18" s="177"/>
      <c r="O18" s="177"/>
      <c r="P18" s="177"/>
      <c r="Q18" s="177"/>
      <c r="R18" s="176">
        <f t="shared" ref="R18:AN18" si="39">ROUND(R7*104.29/251,2)</f>
        <v>22.85</v>
      </c>
      <c r="S18" s="176">
        <f t="shared" si="39"/>
        <v>10.39</v>
      </c>
      <c r="T18" s="176">
        <f t="shared" si="39"/>
        <v>0.42</v>
      </c>
      <c r="U18" s="176">
        <f t="shared" si="39"/>
        <v>0.83</v>
      </c>
      <c r="V18" s="176">
        <f t="shared" si="39"/>
        <v>0.42</v>
      </c>
      <c r="W18" s="176">
        <f t="shared" si="39"/>
        <v>0.42</v>
      </c>
      <c r="X18" s="176">
        <f t="shared" si="39"/>
        <v>0.42</v>
      </c>
      <c r="Y18" s="176">
        <f t="shared" si="39"/>
        <v>0.42</v>
      </c>
      <c r="Z18" s="176">
        <f t="shared" si="39"/>
        <v>79.08</v>
      </c>
      <c r="AA18" s="173">
        <f t="shared" si="39"/>
        <v>0.42</v>
      </c>
      <c r="AB18" s="173">
        <f t="shared" si="39"/>
        <v>0.42</v>
      </c>
      <c r="AC18" s="176">
        <f t="shared" si="39"/>
        <v>0.42</v>
      </c>
      <c r="AD18" s="176">
        <f t="shared" si="39"/>
        <v>0.42</v>
      </c>
      <c r="AE18" s="176">
        <f t="shared" si="39"/>
        <v>0.42</v>
      </c>
      <c r="AF18" s="176">
        <f t="shared" si="39"/>
        <v>0.42</v>
      </c>
      <c r="AG18" s="176">
        <f t="shared" si="39"/>
        <v>0.42</v>
      </c>
      <c r="AH18" s="176">
        <f t="shared" si="39"/>
        <v>0.42</v>
      </c>
      <c r="AI18" s="176">
        <f t="shared" si="39"/>
        <v>0.42</v>
      </c>
      <c r="AJ18" s="176">
        <f t="shared" si="39"/>
        <v>0.42</v>
      </c>
      <c r="AK18" s="176">
        <f t="shared" si="39"/>
        <v>0.42</v>
      </c>
      <c r="AL18" s="176">
        <f t="shared" si="39"/>
        <v>89.47</v>
      </c>
      <c r="AM18" s="176">
        <f t="shared" si="39"/>
        <v>105.26</v>
      </c>
      <c r="AN18" s="176">
        <f t="shared" si="39"/>
        <v>105.26</v>
      </c>
      <c r="AO18" s="176">
        <v>0</v>
      </c>
      <c r="AP18" s="176">
        <v>0</v>
      </c>
      <c r="AQ18" s="176">
        <v>0</v>
      </c>
      <c r="AR18" s="176">
        <v>0</v>
      </c>
    </row>
    <row r="19" spans="1:44" ht="15" customHeight="1" x14ac:dyDescent="0.15">
      <c r="A19" s="175">
        <v>1</v>
      </c>
      <c r="B19" s="173">
        <f t="shared" ref="B19:M19" si="40">ROUND(B7*52.14/251,2)</f>
        <v>44.73</v>
      </c>
      <c r="C19" s="173">
        <f t="shared" si="40"/>
        <v>39.54</v>
      </c>
      <c r="D19" s="173">
        <f t="shared" si="40"/>
        <v>44.73</v>
      </c>
      <c r="E19" s="176">
        <f t="shared" si="40"/>
        <v>52.62</v>
      </c>
      <c r="F19" s="176">
        <f t="shared" si="40"/>
        <v>52.62</v>
      </c>
      <c r="G19" s="173">
        <f t="shared" si="40"/>
        <v>52.62</v>
      </c>
      <c r="H19" s="173">
        <f t="shared" si="40"/>
        <v>52.62</v>
      </c>
      <c r="I19" s="173">
        <f t="shared" si="40"/>
        <v>52.62</v>
      </c>
      <c r="J19" s="173">
        <f t="shared" si="40"/>
        <v>52.62</v>
      </c>
      <c r="K19" s="173">
        <f t="shared" si="40"/>
        <v>52.62</v>
      </c>
      <c r="L19" s="173">
        <f t="shared" si="40"/>
        <v>52.62</v>
      </c>
      <c r="M19" s="173">
        <f t="shared" si="40"/>
        <v>52.62</v>
      </c>
      <c r="N19" s="177"/>
      <c r="O19" s="177"/>
      <c r="P19" s="177"/>
      <c r="Q19" s="177"/>
      <c r="R19" s="173">
        <f t="shared" ref="R19:AN19" si="41">ROUND(R7*52.14/251,2)</f>
        <v>11.43</v>
      </c>
      <c r="S19" s="176">
        <f t="shared" si="41"/>
        <v>5.19</v>
      </c>
      <c r="T19" s="176">
        <f t="shared" si="41"/>
        <v>0.21</v>
      </c>
      <c r="U19" s="176">
        <f t="shared" si="41"/>
        <v>0.42</v>
      </c>
      <c r="V19" s="176">
        <f t="shared" si="41"/>
        <v>0.21</v>
      </c>
      <c r="W19" s="176">
        <f t="shared" si="41"/>
        <v>0.21</v>
      </c>
      <c r="X19" s="176">
        <f t="shared" si="41"/>
        <v>0.21</v>
      </c>
      <c r="Y19" s="176">
        <f t="shared" si="41"/>
        <v>0.21</v>
      </c>
      <c r="Z19" s="176">
        <f t="shared" si="41"/>
        <v>39.54</v>
      </c>
      <c r="AA19" s="173">
        <f t="shared" si="41"/>
        <v>0.21</v>
      </c>
      <c r="AB19" s="173">
        <f t="shared" si="41"/>
        <v>0.21</v>
      </c>
      <c r="AC19" s="176">
        <f t="shared" si="41"/>
        <v>0.21</v>
      </c>
      <c r="AD19" s="176">
        <f t="shared" si="41"/>
        <v>0.21</v>
      </c>
      <c r="AE19" s="176">
        <f t="shared" si="41"/>
        <v>0.21</v>
      </c>
      <c r="AF19" s="176">
        <f t="shared" si="41"/>
        <v>0.21</v>
      </c>
      <c r="AG19" s="176">
        <f t="shared" si="41"/>
        <v>0.21</v>
      </c>
      <c r="AH19" s="176">
        <f t="shared" si="41"/>
        <v>0.21</v>
      </c>
      <c r="AI19" s="176">
        <f t="shared" si="41"/>
        <v>0.21</v>
      </c>
      <c r="AJ19" s="176">
        <f t="shared" si="41"/>
        <v>0.21</v>
      </c>
      <c r="AK19" s="176">
        <f t="shared" si="41"/>
        <v>0.21</v>
      </c>
      <c r="AL19" s="173">
        <f t="shared" si="41"/>
        <v>44.73</v>
      </c>
      <c r="AM19" s="173">
        <f t="shared" si="41"/>
        <v>52.62</v>
      </c>
      <c r="AN19" s="173">
        <f t="shared" si="41"/>
        <v>52.62</v>
      </c>
      <c r="AO19" s="176">
        <v>0</v>
      </c>
      <c r="AP19" s="176">
        <v>0</v>
      </c>
      <c r="AQ19" s="176">
        <v>0</v>
      </c>
      <c r="AR19" s="176">
        <v>0</v>
      </c>
    </row>
    <row r="20" spans="1:44" ht="15" customHeight="1" x14ac:dyDescent="0.15">
      <c r="A20" s="175">
        <v>0.5</v>
      </c>
      <c r="B20" s="173">
        <f t="shared" ref="B20:M20" si="42">ROUND(B7*26.07/251,2)</f>
        <v>22.37</v>
      </c>
      <c r="C20" s="176">
        <f t="shared" si="42"/>
        <v>19.77</v>
      </c>
      <c r="D20" s="176">
        <f t="shared" si="42"/>
        <v>22.37</v>
      </c>
      <c r="E20" s="176">
        <f t="shared" si="42"/>
        <v>26.31</v>
      </c>
      <c r="F20" s="176">
        <f t="shared" si="42"/>
        <v>26.31</v>
      </c>
      <c r="G20" s="176">
        <f t="shared" si="42"/>
        <v>26.31</v>
      </c>
      <c r="H20" s="176">
        <f t="shared" si="42"/>
        <v>26.31</v>
      </c>
      <c r="I20" s="176">
        <f t="shared" si="42"/>
        <v>26.31</v>
      </c>
      <c r="J20" s="176">
        <f t="shared" si="42"/>
        <v>26.31</v>
      </c>
      <c r="K20" s="176">
        <f t="shared" si="42"/>
        <v>26.31</v>
      </c>
      <c r="L20" s="176">
        <f t="shared" si="42"/>
        <v>26.31</v>
      </c>
      <c r="M20" s="176">
        <f t="shared" si="42"/>
        <v>26.31</v>
      </c>
      <c r="N20" s="177"/>
      <c r="O20" s="177"/>
      <c r="P20" s="177"/>
      <c r="Q20" s="177"/>
      <c r="R20" s="176">
        <f t="shared" ref="R20:AN20" si="43">ROUND(R7*26.07/251,2)</f>
        <v>5.71</v>
      </c>
      <c r="S20" s="176">
        <f t="shared" si="43"/>
        <v>2.6</v>
      </c>
      <c r="T20" s="176">
        <f t="shared" si="43"/>
        <v>0.1</v>
      </c>
      <c r="U20" s="176">
        <f t="shared" si="43"/>
        <v>0.21</v>
      </c>
      <c r="V20" s="176">
        <f t="shared" si="43"/>
        <v>0.1</v>
      </c>
      <c r="W20" s="176">
        <f t="shared" si="43"/>
        <v>0.1</v>
      </c>
      <c r="X20" s="176">
        <f t="shared" si="43"/>
        <v>0.1</v>
      </c>
      <c r="Y20" s="176">
        <f t="shared" si="43"/>
        <v>0.1</v>
      </c>
      <c r="Z20" s="176">
        <f t="shared" si="43"/>
        <v>19.77</v>
      </c>
      <c r="AA20" s="173">
        <f t="shared" si="43"/>
        <v>0.1</v>
      </c>
      <c r="AB20" s="173">
        <f t="shared" si="43"/>
        <v>0.1</v>
      </c>
      <c r="AC20" s="176">
        <f t="shared" si="43"/>
        <v>0.1</v>
      </c>
      <c r="AD20" s="176">
        <f t="shared" si="43"/>
        <v>0.1</v>
      </c>
      <c r="AE20" s="176">
        <f t="shared" si="43"/>
        <v>0.1</v>
      </c>
      <c r="AF20" s="176">
        <f t="shared" si="43"/>
        <v>0.1</v>
      </c>
      <c r="AG20" s="176">
        <f t="shared" si="43"/>
        <v>0.1</v>
      </c>
      <c r="AH20" s="176">
        <f t="shared" si="43"/>
        <v>0.1</v>
      </c>
      <c r="AI20" s="176">
        <f t="shared" si="43"/>
        <v>0.1</v>
      </c>
      <c r="AJ20" s="176">
        <f t="shared" si="43"/>
        <v>0.1</v>
      </c>
      <c r="AK20" s="176">
        <f t="shared" si="43"/>
        <v>0.1</v>
      </c>
      <c r="AL20" s="176">
        <f t="shared" si="43"/>
        <v>22.37</v>
      </c>
      <c r="AM20" s="176">
        <f t="shared" si="43"/>
        <v>26.31</v>
      </c>
      <c r="AN20" s="176">
        <f t="shared" si="43"/>
        <v>26.31</v>
      </c>
      <c r="AO20" s="176">
        <v>0</v>
      </c>
      <c r="AP20" s="176">
        <v>0</v>
      </c>
      <c r="AQ20" s="176">
        <v>0</v>
      </c>
      <c r="AR20" s="176">
        <v>0</v>
      </c>
    </row>
    <row r="21" spans="1:44" ht="15" customHeight="1" x14ac:dyDescent="0.15">
      <c r="A21" s="175" t="s">
        <v>161</v>
      </c>
      <c r="B21" s="178">
        <v>22</v>
      </c>
      <c r="C21" s="178">
        <f>ROUND(11*2,2)</f>
        <v>22</v>
      </c>
      <c r="D21" s="178">
        <v>22</v>
      </c>
      <c r="E21" s="178">
        <f t="shared" ref="E21:N21" si="44">ROUND(12*2,2)</f>
        <v>24</v>
      </c>
      <c r="F21" s="178">
        <f t="shared" si="44"/>
        <v>24</v>
      </c>
      <c r="G21" s="178">
        <f t="shared" si="44"/>
        <v>24</v>
      </c>
      <c r="H21" s="178">
        <f t="shared" si="44"/>
        <v>24</v>
      </c>
      <c r="I21" s="178">
        <f t="shared" si="44"/>
        <v>24</v>
      </c>
      <c r="J21" s="178">
        <f t="shared" si="44"/>
        <v>24</v>
      </c>
      <c r="K21" s="178">
        <f t="shared" si="44"/>
        <v>24</v>
      </c>
      <c r="L21" s="178">
        <f t="shared" si="44"/>
        <v>24</v>
      </c>
      <c r="M21" s="178">
        <f t="shared" si="44"/>
        <v>24</v>
      </c>
      <c r="N21" s="178">
        <f t="shared" si="44"/>
        <v>24</v>
      </c>
      <c r="O21" s="178">
        <f>ROUND(11*2,2)</f>
        <v>22</v>
      </c>
      <c r="P21" s="178">
        <f>ROUND(12*2,2)</f>
        <v>24</v>
      </c>
      <c r="Q21" s="178">
        <f>ROUND(12*2,2)</f>
        <v>24</v>
      </c>
      <c r="R21" s="178">
        <v>2</v>
      </c>
      <c r="S21" s="178">
        <f>ROUND(12*2,2)</f>
        <v>24</v>
      </c>
      <c r="T21" s="178">
        <f>ROUND(12*2,2)</f>
        <v>24</v>
      </c>
      <c r="U21" s="178">
        <f>ROUND(12*2,2)</f>
        <v>24</v>
      </c>
      <c r="V21" s="178">
        <f>ROUND(12*2,2)</f>
        <v>24</v>
      </c>
      <c r="W21" s="178">
        <f>ROUND(11*2,2)</f>
        <v>22</v>
      </c>
      <c r="X21" s="178">
        <f>ROUND(12*2,2)</f>
        <v>24</v>
      </c>
      <c r="Y21" s="178">
        <f>ROUND(12*2,2)</f>
        <v>24</v>
      </c>
      <c r="Z21" s="179">
        <v>10</v>
      </c>
      <c r="AA21" s="179">
        <f>ROUND(12*2,2)</f>
        <v>24</v>
      </c>
      <c r="AB21" s="179">
        <f>ROUND(11*2,2)</f>
        <v>22</v>
      </c>
      <c r="AC21" s="178">
        <f>ROUND(11*2,2)</f>
        <v>22</v>
      </c>
      <c r="AD21" s="178">
        <f t="shared" ref="AD21:AR21" si="45">ROUND(12*2,2)</f>
        <v>24</v>
      </c>
      <c r="AE21" s="178">
        <f t="shared" si="45"/>
        <v>24</v>
      </c>
      <c r="AF21" s="178">
        <f t="shared" si="45"/>
        <v>24</v>
      </c>
      <c r="AG21" s="178">
        <f t="shared" si="45"/>
        <v>24</v>
      </c>
      <c r="AH21" s="178">
        <f t="shared" si="45"/>
        <v>24</v>
      </c>
      <c r="AI21" s="178">
        <f t="shared" si="45"/>
        <v>24</v>
      </c>
      <c r="AJ21" s="178">
        <f t="shared" si="45"/>
        <v>24</v>
      </c>
      <c r="AK21" s="178">
        <f t="shared" si="45"/>
        <v>24</v>
      </c>
      <c r="AL21" s="178">
        <f t="shared" si="45"/>
        <v>24</v>
      </c>
      <c r="AM21" s="178">
        <f t="shared" si="45"/>
        <v>24</v>
      </c>
      <c r="AN21" s="178">
        <f t="shared" si="45"/>
        <v>24</v>
      </c>
      <c r="AO21" s="178">
        <f t="shared" si="45"/>
        <v>24</v>
      </c>
      <c r="AP21" s="178">
        <f t="shared" si="45"/>
        <v>24</v>
      </c>
      <c r="AQ21" s="178">
        <f t="shared" si="45"/>
        <v>24</v>
      </c>
      <c r="AR21" s="178">
        <f t="shared" si="45"/>
        <v>24</v>
      </c>
    </row>
    <row r="22" spans="1:44" ht="15" customHeight="1" x14ac:dyDescent="0.15">
      <c r="A22" s="175" t="s">
        <v>162</v>
      </c>
      <c r="B22" s="179">
        <v>11</v>
      </c>
      <c r="C22" s="179">
        <f>ROUND(11*1,2)</f>
        <v>11</v>
      </c>
      <c r="D22" s="179">
        <v>11</v>
      </c>
      <c r="E22" s="178">
        <f t="shared" ref="E22:N22" si="46">ROUND(12*1,2)</f>
        <v>12</v>
      </c>
      <c r="F22" s="178">
        <f t="shared" si="46"/>
        <v>12</v>
      </c>
      <c r="G22" s="179">
        <f t="shared" si="46"/>
        <v>12</v>
      </c>
      <c r="H22" s="179">
        <f t="shared" si="46"/>
        <v>12</v>
      </c>
      <c r="I22" s="178">
        <f t="shared" si="46"/>
        <v>12</v>
      </c>
      <c r="J22" s="178">
        <f t="shared" si="46"/>
        <v>12</v>
      </c>
      <c r="K22" s="178">
        <f t="shared" si="46"/>
        <v>12</v>
      </c>
      <c r="L22" s="179">
        <f t="shared" si="46"/>
        <v>12</v>
      </c>
      <c r="M22" s="179">
        <f t="shared" si="46"/>
        <v>12</v>
      </c>
      <c r="N22" s="178">
        <f t="shared" si="46"/>
        <v>12</v>
      </c>
      <c r="O22" s="178">
        <f>ROUND(11*1,2)</f>
        <v>11</v>
      </c>
      <c r="P22" s="178">
        <f>ROUND(12*1,2)</f>
        <v>12</v>
      </c>
      <c r="Q22" s="178">
        <f>ROUND(12*1,2)</f>
        <v>12</v>
      </c>
      <c r="R22" s="178">
        <v>1</v>
      </c>
      <c r="S22" s="178">
        <f>ROUND(12*1,2)</f>
        <v>12</v>
      </c>
      <c r="T22" s="178">
        <f>ROUND(12*1,2)</f>
        <v>12</v>
      </c>
      <c r="U22" s="178">
        <f>ROUND(12*1,2)</f>
        <v>12</v>
      </c>
      <c r="V22" s="178">
        <f>ROUND(12*1,2)</f>
        <v>12</v>
      </c>
      <c r="W22" s="178">
        <f>ROUND(11*1,2)</f>
        <v>11</v>
      </c>
      <c r="X22" s="178">
        <f>ROUND(12*1,2)</f>
        <v>12</v>
      </c>
      <c r="Y22" s="178">
        <f>ROUND(12*1,2)</f>
        <v>12</v>
      </c>
      <c r="Z22" s="178">
        <v>5</v>
      </c>
      <c r="AA22" s="179">
        <f>ROUND(12*1,2)</f>
        <v>12</v>
      </c>
      <c r="AB22" s="179">
        <f>ROUND(11*1,2)</f>
        <v>11</v>
      </c>
      <c r="AC22" s="178">
        <f>ROUND(11*1,2)</f>
        <v>11</v>
      </c>
      <c r="AD22" s="178">
        <f t="shared" ref="AD22:AR22" si="47">ROUND(12*1,2)</f>
        <v>12</v>
      </c>
      <c r="AE22" s="178">
        <f t="shared" si="47"/>
        <v>12</v>
      </c>
      <c r="AF22" s="178">
        <f t="shared" si="47"/>
        <v>12</v>
      </c>
      <c r="AG22" s="178">
        <f t="shared" si="47"/>
        <v>12</v>
      </c>
      <c r="AH22" s="178">
        <f t="shared" si="47"/>
        <v>12</v>
      </c>
      <c r="AI22" s="178">
        <f t="shared" si="47"/>
        <v>12</v>
      </c>
      <c r="AJ22" s="178">
        <f t="shared" si="47"/>
        <v>12</v>
      </c>
      <c r="AK22" s="178">
        <f t="shared" si="47"/>
        <v>12</v>
      </c>
      <c r="AL22" s="178">
        <f t="shared" si="47"/>
        <v>12</v>
      </c>
      <c r="AM22" s="178">
        <f t="shared" si="47"/>
        <v>12</v>
      </c>
      <c r="AN22" s="178">
        <f t="shared" si="47"/>
        <v>12</v>
      </c>
      <c r="AO22" s="178">
        <f t="shared" si="47"/>
        <v>12</v>
      </c>
      <c r="AP22" s="178">
        <f t="shared" si="47"/>
        <v>12</v>
      </c>
      <c r="AQ22" s="178">
        <f t="shared" si="47"/>
        <v>12</v>
      </c>
      <c r="AR22" s="178">
        <f t="shared" si="47"/>
        <v>12</v>
      </c>
    </row>
    <row r="23" spans="1:44" ht="15" customHeight="1" x14ac:dyDescent="0.15">
      <c r="A23" s="175" t="s">
        <v>163</v>
      </c>
      <c r="B23" s="176">
        <v>6</v>
      </c>
      <c r="C23" s="176">
        <v>6</v>
      </c>
      <c r="D23" s="176">
        <v>6</v>
      </c>
      <c r="E23" s="176">
        <v>6</v>
      </c>
      <c r="F23" s="176">
        <v>6</v>
      </c>
      <c r="G23" s="176">
        <v>6</v>
      </c>
      <c r="H23" s="176">
        <v>6</v>
      </c>
      <c r="I23" s="176">
        <v>6</v>
      </c>
      <c r="J23" s="176">
        <v>6</v>
      </c>
      <c r="K23" s="176">
        <v>6</v>
      </c>
      <c r="L23" s="176">
        <v>6</v>
      </c>
      <c r="M23" s="176">
        <v>6</v>
      </c>
      <c r="N23" s="176">
        <v>6</v>
      </c>
      <c r="O23" s="176">
        <v>6</v>
      </c>
      <c r="P23" s="176">
        <v>6</v>
      </c>
      <c r="Q23" s="176">
        <v>6</v>
      </c>
      <c r="R23" s="177"/>
      <c r="S23" s="176">
        <v>6</v>
      </c>
      <c r="T23" s="176">
        <v>6</v>
      </c>
      <c r="U23" s="176">
        <v>6</v>
      </c>
      <c r="V23" s="176">
        <v>6</v>
      </c>
      <c r="W23" s="176">
        <v>6</v>
      </c>
      <c r="X23" s="176">
        <v>6</v>
      </c>
      <c r="Y23" s="176">
        <v>6</v>
      </c>
      <c r="Z23" s="176">
        <v>6</v>
      </c>
      <c r="AA23" s="173">
        <v>6</v>
      </c>
      <c r="AB23" s="173">
        <v>6</v>
      </c>
      <c r="AC23" s="176">
        <v>6</v>
      </c>
      <c r="AD23" s="176">
        <v>6</v>
      </c>
      <c r="AE23" s="176">
        <v>6</v>
      </c>
      <c r="AF23" s="176">
        <v>6</v>
      </c>
      <c r="AG23" s="176">
        <v>6</v>
      </c>
      <c r="AH23" s="176">
        <v>6</v>
      </c>
      <c r="AI23" s="176">
        <v>6</v>
      </c>
      <c r="AJ23" s="176">
        <v>6</v>
      </c>
      <c r="AK23" s="176">
        <v>6</v>
      </c>
      <c r="AL23" s="176">
        <v>6</v>
      </c>
      <c r="AM23" s="176">
        <v>6</v>
      </c>
      <c r="AN23" s="176">
        <v>6</v>
      </c>
      <c r="AO23" s="176">
        <v>6</v>
      </c>
      <c r="AP23" s="176">
        <v>6</v>
      </c>
      <c r="AQ23" s="176">
        <v>6</v>
      </c>
      <c r="AR23" s="176">
        <v>6</v>
      </c>
    </row>
    <row r="24" spans="1:44" ht="15" customHeight="1" x14ac:dyDescent="0.15">
      <c r="A24" s="175" t="s">
        <v>164</v>
      </c>
      <c r="B24" s="176">
        <v>5</v>
      </c>
      <c r="C24" s="176">
        <v>5</v>
      </c>
      <c r="D24" s="176">
        <v>5</v>
      </c>
      <c r="E24" s="176">
        <v>5</v>
      </c>
      <c r="F24" s="176">
        <v>5</v>
      </c>
      <c r="G24" s="176">
        <v>5</v>
      </c>
      <c r="H24" s="176">
        <v>5</v>
      </c>
      <c r="I24" s="176">
        <v>5</v>
      </c>
      <c r="J24" s="176">
        <v>5</v>
      </c>
      <c r="K24" s="176">
        <v>5</v>
      </c>
      <c r="L24" s="176">
        <v>5</v>
      </c>
      <c r="M24" s="176">
        <v>5</v>
      </c>
      <c r="N24" s="176">
        <v>5</v>
      </c>
      <c r="O24" s="176">
        <v>5</v>
      </c>
      <c r="P24" s="176">
        <v>5</v>
      </c>
      <c r="Q24" s="176">
        <v>5</v>
      </c>
      <c r="R24" s="177"/>
      <c r="S24" s="176">
        <v>5</v>
      </c>
      <c r="T24" s="176">
        <v>5</v>
      </c>
      <c r="U24" s="176">
        <v>5</v>
      </c>
      <c r="V24" s="176">
        <v>5</v>
      </c>
      <c r="W24" s="176">
        <v>5</v>
      </c>
      <c r="X24" s="176">
        <v>5</v>
      </c>
      <c r="Y24" s="176">
        <v>5</v>
      </c>
      <c r="Z24" s="176">
        <v>5</v>
      </c>
      <c r="AA24" s="173">
        <v>5</v>
      </c>
      <c r="AB24" s="173">
        <v>5</v>
      </c>
      <c r="AC24" s="176">
        <v>5</v>
      </c>
      <c r="AD24" s="176">
        <v>5</v>
      </c>
      <c r="AE24" s="176">
        <v>5</v>
      </c>
      <c r="AF24" s="176">
        <v>5</v>
      </c>
      <c r="AG24" s="176">
        <v>5</v>
      </c>
      <c r="AH24" s="176">
        <v>5</v>
      </c>
      <c r="AI24" s="176">
        <v>5</v>
      </c>
      <c r="AJ24" s="176">
        <v>5</v>
      </c>
      <c r="AK24" s="176">
        <v>5</v>
      </c>
      <c r="AL24" s="176">
        <v>5</v>
      </c>
      <c r="AM24" s="176">
        <v>5</v>
      </c>
      <c r="AN24" s="176">
        <v>5</v>
      </c>
      <c r="AO24" s="176">
        <v>5</v>
      </c>
      <c r="AP24" s="176">
        <v>5</v>
      </c>
      <c r="AQ24" s="176">
        <v>5</v>
      </c>
      <c r="AR24" s="176">
        <v>5</v>
      </c>
    </row>
    <row r="25" spans="1:44" ht="15" customHeight="1" x14ac:dyDescent="0.15">
      <c r="A25" s="175" t="s">
        <v>165</v>
      </c>
      <c r="B25" s="176">
        <v>4</v>
      </c>
      <c r="C25" s="176">
        <v>4</v>
      </c>
      <c r="D25" s="176">
        <v>4</v>
      </c>
      <c r="E25" s="176">
        <v>4</v>
      </c>
      <c r="F25" s="176">
        <v>4</v>
      </c>
      <c r="G25" s="176">
        <v>4</v>
      </c>
      <c r="H25" s="176">
        <v>4</v>
      </c>
      <c r="I25" s="176">
        <v>4</v>
      </c>
      <c r="J25" s="176">
        <v>4</v>
      </c>
      <c r="K25" s="176">
        <v>4</v>
      </c>
      <c r="L25" s="176">
        <v>4</v>
      </c>
      <c r="M25" s="173">
        <v>4</v>
      </c>
      <c r="N25" s="176">
        <v>4</v>
      </c>
      <c r="O25" s="176">
        <v>4</v>
      </c>
      <c r="P25" s="176">
        <v>4</v>
      </c>
      <c r="Q25" s="176">
        <v>4</v>
      </c>
      <c r="R25" s="177"/>
      <c r="S25" s="176">
        <v>4</v>
      </c>
      <c r="T25" s="176">
        <v>4</v>
      </c>
      <c r="U25" s="176">
        <v>4</v>
      </c>
      <c r="V25" s="176">
        <v>4</v>
      </c>
      <c r="W25" s="176">
        <v>4</v>
      </c>
      <c r="X25" s="176">
        <v>4</v>
      </c>
      <c r="Y25" s="176">
        <v>4</v>
      </c>
      <c r="Z25" s="176">
        <v>4</v>
      </c>
      <c r="AA25" s="173">
        <v>4</v>
      </c>
      <c r="AB25" s="173">
        <v>4</v>
      </c>
      <c r="AC25" s="176">
        <v>4</v>
      </c>
      <c r="AD25" s="176">
        <v>4</v>
      </c>
      <c r="AE25" s="176">
        <v>4</v>
      </c>
      <c r="AF25" s="176">
        <v>4</v>
      </c>
      <c r="AG25" s="176">
        <v>4</v>
      </c>
      <c r="AH25" s="176">
        <v>4</v>
      </c>
      <c r="AI25" s="176">
        <v>4</v>
      </c>
      <c r="AJ25" s="176">
        <v>4</v>
      </c>
      <c r="AK25" s="176">
        <v>4</v>
      </c>
      <c r="AL25" s="176">
        <v>4</v>
      </c>
      <c r="AM25" s="176">
        <v>4</v>
      </c>
      <c r="AN25" s="176">
        <v>4</v>
      </c>
      <c r="AO25" s="176">
        <v>4</v>
      </c>
      <c r="AP25" s="176">
        <v>4</v>
      </c>
      <c r="AQ25" s="176">
        <v>4</v>
      </c>
      <c r="AR25" s="176">
        <v>4</v>
      </c>
    </row>
    <row r="26" spans="1:44" ht="15" customHeight="1" x14ac:dyDescent="0.15">
      <c r="A26" s="175" t="s">
        <v>166</v>
      </c>
      <c r="B26" s="176">
        <v>3</v>
      </c>
      <c r="C26" s="176">
        <v>3</v>
      </c>
      <c r="D26" s="176">
        <v>3</v>
      </c>
      <c r="E26" s="176">
        <v>3</v>
      </c>
      <c r="F26" s="176">
        <v>3</v>
      </c>
      <c r="G26" s="176">
        <v>3</v>
      </c>
      <c r="H26" s="176">
        <v>3</v>
      </c>
      <c r="I26" s="176">
        <v>3</v>
      </c>
      <c r="J26" s="176">
        <v>3</v>
      </c>
      <c r="K26" s="176">
        <v>3</v>
      </c>
      <c r="L26" s="176">
        <v>3</v>
      </c>
      <c r="M26" s="176">
        <v>3</v>
      </c>
      <c r="N26" s="176">
        <v>3</v>
      </c>
      <c r="O26" s="176">
        <v>3</v>
      </c>
      <c r="P26" s="176">
        <v>3</v>
      </c>
      <c r="Q26" s="176">
        <v>3</v>
      </c>
      <c r="R26" s="177"/>
      <c r="S26" s="176">
        <v>3</v>
      </c>
      <c r="T26" s="176">
        <v>3</v>
      </c>
      <c r="U26" s="176">
        <v>3</v>
      </c>
      <c r="V26" s="176">
        <v>3</v>
      </c>
      <c r="W26" s="176">
        <v>3</v>
      </c>
      <c r="X26" s="176">
        <v>3</v>
      </c>
      <c r="Y26" s="176">
        <v>3</v>
      </c>
      <c r="Z26" s="176">
        <v>3</v>
      </c>
      <c r="AA26" s="173">
        <v>3</v>
      </c>
      <c r="AB26" s="173">
        <v>3</v>
      </c>
      <c r="AC26" s="176">
        <v>3</v>
      </c>
      <c r="AD26" s="176">
        <v>3</v>
      </c>
      <c r="AE26" s="176">
        <v>3</v>
      </c>
      <c r="AF26" s="176">
        <v>3</v>
      </c>
      <c r="AG26" s="176">
        <v>3</v>
      </c>
      <c r="AH26" s="176">
        <v>3</v>
      </c>
      <c r="AI26" s="176">
        <v>3</v>
      </c>
      <c r="AJ26" s="176">
        <v>3</v>
      </c>
      <c r="AK26" s="176">
        <v>3</v>
      </c>
      <c r="AL26" s="176">
        <v>3</v>
      </c>
      <c r="AM26" s="176">
        <v>3</v>
      </c>
      <c r="AN26" s="176">
        <v>3</v>
      </c>
      <c r="AO26" s="176">
        <v>3</v>
      </c>
      <c r="AP26" s="176">
        <v>3</v>
      </c>
      <c r="AQ26" s="176">
        <v>3</v>
      </c>
      <c r="AR26" s="176">
        <v>3</v>
      </c>
    </row>
    <row r="27" spans="1:44" ht="15" customHeight="1" x14ac:dyDescent="0.15">
      <c r="A27" s="175" t="s">
        <v>167</v>
      </c>
      <c r="B27" s="173">
        <v>2</v>
      </c>
      <c r="C27" s="176">
        <v>2</v>
      </c>
      <c r="D27" s="176">
        <v>2</v>
      </c>
      <c r="E27" s="176">
        <v>2</v>
      </c>
      <c r="F27" s="176">
        <v>2</v>
      </c>
      <c r="G27" s="176">
        <v>2</v>
      </c>
      <c r="H27" s="176">
        <v>2</v>
      </c>
      <c r="I27" s="176">
        <v>2</v>
      </c>
      <c r="J27" s="176">
        <v>2</v>
      </c>
      <c r="K27" s="176">
        <v>2</v>
      </c>
      <c r="L27" s="176">
        <v>2</v>
      </c>
      <c r="M27" s="176">
        <v>2</v>
      </c>
      <c r="N27" s="176">
        <v>2</v>
      </c>
      <c r="O27" s="176">
        <v>2</v>
      </c>
      <c r="P27" s="176">
        <v>2</v>
      </c>
      <c r="Q27" s="176">
        <v>2</v>
      </c>
      <c r="R27" s="177"/>
      <c r="S27" s="176">
        <v>2</v>
      </c>
      <c r="T27" s="176">
        <v>2</v>
      </c>
      <c r="U27" s="176">
        <v>2</v>
      </c>
      <c r="V27" s="176">
        <v>2</v>
      </c>
      <c r="W27" s="176">
        <v>2</v>
      </c>
      <c r="X27" s="176">
        <v>2</v>
      </c>
      <c r="Y27" s="176">
        <v>2</v>
      </c>
      <c r="Z27" s="176">
        <v>2</v>
      </c>
      <c r="AA27" s="173">
        <v>2</v>
      </c>
      <c r="AB27" s="173">
        <v>2</v>
      </c>
      <c r="AC27" s="176">
        <v>2</v>
      </c>
      <c r="AD27" s="176">
        <v>2</v>
      </c>
      <c r="AE27" s="176">
        <v>2</v>
      </c>
      <c r="AF27" s="176">
        <v>2</v>
      </c>
      <c r="AG27" s="176">
        <v>2</v>
      </c>
      <c r="AH27" s="176">
        <v>2</v>
      </c>
      <c r="AI27" s="176">
        <v>2</v>
      </c>
      <c r="AJ27" s="176">
        <v>2</v>
      </c>
      <c r="AK27" s="176">
        <v>2</v>
      </c>
      <c r="AL27" s="176">
        <v>2</v>
      </c>
      <c r="AM27" s="176">
        <v>2</v>
      </c>
      <c r="AN27" s="176">
        <v>2</v>
      </c>
      <c r="AO27" s="176">
        <v>2</v>
      </c>
      <c r="AP27" s="176">
        <v>2</v>
      </c>
      <c r="AQ27" s="176">
        <v>2</v>
      </c>
      <c r="AR27" s="176">
        <v>2</v>
      </c>
    </row>
    <row r="28" spans="1:44" ht="15" customHeight="1" x14ac:dyDescent="0.15">
      <c r="A28" s="175" t="s">
        <v>168</v>
      </c>
      <c r="B28" s="176">
        <v>1</v>
      </c>
      <c r="C28" s="176">
        <v>1</v>
      </c>
      <c r="D28" s="176">
        <v>1</v>
      </c>
      <c r="E28" s="173">
        <v>1</v>
      </c>
      <c r="F28" s="176">
        <v>1</v>
      </c>
      <c r="G28" s="176">
        <v>1</v>
      </c>
      <c r="H28" s="176">
        <v>1</v>
      </c>
      <c r="I28" s="176">
        <v>1</v>
      </c>
      <c r="J28" s="176">
        <v>1</v>
      </c>
      <c r="K28" s="176">
        <v>1</v>
      </c>
      <c r="L28" s="176">
        <v>1</v>
      </c>
      <c r="M28" s="176">
        <v>1</v>
      </c>
      <c r="N28" s="173">
        <v>1</v>
      </c>
      <c r="O28" s="173">
        <v>1</v>
      </c>
      <c r="P28" s="173">
        <v>1</v>
      </c>
      <c r="Q28" s="173">
        <v>1</v>
      </c>
      <c r="R28" s="177"/>
      <c r="S28" s="176">
        <v>1</v>
      </c>
      <c r="T28" s="176">
        <v>1</v>
      </c>
      <c r="U28" s="176">
        <v>1</v>
      </c>
      <c r="V28" s="176">
        <v>1</v>
      </c>
      <c r="W28" s="176">
        <v>1</v>
      </c>
      <c r="X28" s="176">
        <v>1</v>
      </c>
      <c r="Y28" s="176">
        <v>1</v>
      </c>
      <c r="Z28" s="176">
        <v>1</v>
      </c>
      <c r="AA28" s="173">
        <v>1</v>
      </c>
      <c r="AB28" s="173">
        <v>1</v>
      </c>
      <c r="AC28" s="173">
        <v>1</v>
      </c>
      <c r="AD28" s="173">
        <v>1</v>
      </c>
      <c r="AE28" s="173">
        <v>1</v>
      </c>
      <c r="AF28" s="173">
        <v>1</v>
      </c>
      <c r="AG28" s="173">
        <v>1</v>
      </c>
      <c r="AH28" s="173">
        <v>1</v>
      </c>
      <c r="AI28" s="173">
        <v>1</v>
      </c>
      <c r="AJ28" s="173">
        <v>1</v>
      </c>
      <c r="AK28" s="173">
        <v>1</v>
      </c>
      <c r="AL28" s="176">
        <v>1</v>
      </c>
      <c r="AM28" s="176">
        <v>1</v>
      </c>
      <c r="AN28" s="176">
        <v>1</v>
      </c>
      <c r="AO28" s="176">
        <v>1</v>
      </c>
      <c r="AP28" s="176">
        <v>1</v>
      </c>
      <c r="AQ28" s="176">
        <v>1</v>
      </c>
      <c r="AR28" s="176">
        <v>1</v>
      </c>
    </row>
    <row r="29" spans="1:44" ht="15" customHeight="1" x14ac:dyDescent="0.15">
      <c r="A29" s="173" t="s">
        <v>169</v>
      </c>
      <c r="B29" s="176">
        <v>0.5</v>
      </c>
      <c r="C29" s="176">
        <v>0.5</v>
      </c>
      <c r="D29" s="176">
        <v>0.5</v>
      </c>
      <c r="E29" s="176">
        <v>0.5</v>
      </c>
      <c r="F29" s="176">
        <v>0.5</v>
      </c>
      <c r="G29" s="176">
        <v>0.5</v>
      </c>
      <c r="H29" s="176">
        <v>0.5</v>
      </c>
      <c r="I29" s="176">
        <v>0.5</v>
      </c>
      <c r="J29" s="176">
        <v>0.5</v>
      </c>
      <c r="K29" s="176">
        <v>0.5</v>
      </c>
      <c r="L29" s="176">
        <v>0.5</v>
      </c>
      <c r="M29" s="176">
        <v>0.5</v>
      </c>
      <c r="N29" s="176">
        <v>0.5</v>
      </c>
      <c r="O29" s="176">
        <v>0.5</v>
      </c>
      <c r="P29" s="176">
        <v>0.5</v>
      </c>
      <c r="Q29" s="176">
        <v>0.5</v>
      </c>
      <c r="R29" s="177"/>
      <c r="S29" s="176">
        <v>0.5</v>
      </c>
      <c r="T29" s="176">
        <v>0.5</v>
      </c>
      <c r="U29" s="176">
        <v>0.5</v>
      </c>
      <c r="V29" s="176">
        <v>0.5</v>
      </c>
      <c r="W29" s="176">
        <v>0.5</v>
      </c>
      <c r="X29" s="176">
        <v>0.5</v>
      </c>
      <c r="Y29" s="176">
        <v>0.5</v>
      </c>
      <c r="Z29" s="176">
        <v>0.5</v>
      </c>
      <c r="AA29" s="173">
        <v>0.5</v>
      </c>
      <c r="AB29" s="173">
        <v>0.5</v>
      </c>
      <c r="AC29" s="176">
        <v>0.5</v>
      </c>
      <c r="AD29" s="176">
        <v>0.5</v>
      </c>
      <c r="AE29" s="176">
        <v>0.5</v>
      </c>
      <c r="AF29" s="176">
        <v>0.5</v>
      </c>
      <c r="AG29" s="176">
        <v>0.5</v>
      </c>
      <c r="AH29" s="176">
        <v>0.5</v>
      </c>
      <c r="AI29" s="176">
        <v>0.5</v>
      </c>
      <c r="AJ29" s="176">
        <v>0.5</v>
      </c>
      <c r="AK29" s="176">
        <v>0.5</v>
      </c>
      <c r="AL29" s="176">
        <v>0.5</v>
      </c>
      <c r="AM29" s="176">
        <v>0.5</v>
      </c>
      <c r="AN29" s="176">
        <v>0.5</v>
      </c>
      <c r="AO29" s="176">
        <v>0.5</v>
      </c>
      <c r="AP29" s="176">
        <v>0.5</v>
      </c>
      <c r="AQ29" s="176">
        <v>0.5</v>
      </c>
      <c r="AR29" s="176">
        <v>0.5</v>
      </c>
    </row>
    <row r="30" spans="1:44" ht="15" customHeight="1" x14ac:dyDescent="0.15">
      <c r="A30" s="173">
        <v>0</v>
      </c>
      <c r="B30" s="173">
        <v>0</v>
      </c>
      <c r="C30" s="173">
        <v>0</v>
      </c>
      <c r="D30" s="176">
        <v>0</v>
      </c>
      <c r="E30" s="173">
        <v>0</v>
      </c>
      <c r="F30" s="176">
        <v>0</v>
      </c>
      <c r="G30" s="173">
        <v>0</v>
      </c>
      <c r="H30" s="176">
        <v>0</v>
      </c>
      <c r="I30" s="176">
        <v>0</v>
      </c>
      <c r="J30" s="176">
        <v>0</v>
      </c>
      <c r="K30" s="176">
        <v>0</v>
      </c>
      <c r="L30" s="176">
        <v>0</v>
      </c>
      <c r="M30" s="176">
        <v>0</v>
      </c>
      <c r="N30" s="180"/>
      <c r="O30" s="180"/>
      <c r="P30" s="180"/>
      <c r="Q30" s="180"/>
      <c r="R30" s="173">
        <v>0</v>
      </c>
      <c r="S30" s="173">
        <v>0</v>
      </c>
      <c r="T30" s="176">
        <v>0</v>
      </c>
      <c r="U30" s="173">
        <v>0</v>
      </c>
      <c r="V30" s="176">
        <v>0</v>
      </c>
      <c r="W30" s="176">
        <v>0</v>
      </c>
      <c r="X30" s="176">
        <v>0</v>
      </c>
      <c r="Y30" s="176">
        <v>0</v>
      </c>
      <c r="Z30" s="176">
        <v>0</v>
      </c>
      <c r="AA30" s="173">
        <v>0</v>
      </c>
      <c r="AB30" s="173">
        <v>0</v>
      </c>
      <c r="AC30" s="176">
        <v>0</v>
      </c>
      <c r="AD30" s="176">
        <v>0</v>
      </c>
      <c r="AE30" s="176">
        <v>0</v>
      </c>
      <c r="AF30" s="176">
        <v>0</v>
      </c>
      <c r="AG30" s="176">
        <v>0</v>
      </c>
      <c r="AH30" s="176">
        <v>0</v>
      </c>
      <c r="AI30" s="176">
        <v>0</v>
      </c>
      <c r="AJ30" s="176">
        <v>0</v>
      </c>
      <c r="AK30" s="176">
        <v>0</v>
      </c>
      <c r="AL30" s="176">
        <v>0</v>
      </c>
      <c r="AM30" s="176">
        <v>0</v>
      </c>
      <c r="AN30" s="176">
        <v>0</v>
      </c>
      <c r="AO30" s="176">
        <v>0</v>
      </c>
      <c r="AP30" s="176">
        <v>0</v>
      </c>
      <c r="AQ30" s="176">
        <v>0</v>
      </c>
      <c r="AR30" s="176">
        <v>0</v>
      </c>
    </row>
    <row r="31" spans="1:44" ht="15" customHeight="1" x14ac:dyDescent="0.15">
      <c r="A31" s="173" t="s">
        <v>171</v>
      </c>
      <c r="B31" s="177"/>
      <c r="C31" s="177"/>
      <c r="D31" s="177"/>
      <c r="E31" s="177"/>
      <c r="F31" s="177"/>
      <c r="G31" s="177"/>
      <c r="H31" s="177"/>
      <c r="I31" s="177"/>
      <c r="J31" s="177"/>
      <c r="K31" s="177"/>
      <c r="L31" s="177"/>
      <c r="M31" s="177"/>
      <c r="N31" s="177"/>
      <c r="O31" s="177"/>
      <c r="P31" s="177"/>
      <c r="Q31" s="177"/>
      <c r="R31" s="177"/>
      <c r="S31" s="173">
        <f>S7</f>
        <v>25</v>
      </c>
      <c r="T31" s="173">
        <f>T7</f>
        <v>1</v>
      </c>
      <c r="U31" s="173">
        <f>U7</f>
        <v>2</v>
      </c>
      <c r="V31" s="173">
        <f>V7</f>
        <v>1</v>
      </c>
      <c r="W31" s="173">
        <f t="shared" ref="W31:Y31" si="48">W7</f>
        <v>1</v>
      </c>
      <c r="X31" s="173">
        <f t="shared" si="48"/>
        <v>1</v>
      </c>
      <c r="Y31" s="173">
        <f t="shared" si="48"/>
        <v>1</v>
      </c>
      <c r="Z31" s="180"/>
      <c r="AA31" s="173">
        <f>AA7</f>
        <v>1</v>
      </c>
      <c r="AB31" s="173">
        <f>AB7</f>
        <v>1</v>
      </c>
      <c r="AC31" s="177"/>
      <c r="AD31" s="177"/>
      <c r="AE31" s="177"/>
      <c r="AF31" s="177"/>
      <c r="AG31" s="177"/>
      <c r="AH31" s="177"/>
      <c r="AI31" s="177"/>
      <c r="AJ31" s="177"/>
      <c r="AK31" s="177"/>
      <c r="AL31" s="177"/>
      <c r="AM31" s="177"/>
      <c r="AN31" s="177"/>
      <c r="AO31" s="173">
        <f>AO7</f>
        <v>1</v>
      </c>
      <c r="AP31" s="173">
        <f t="shared" ref="AP31:AR31" si="49">AP7</f>
        <v>1</v>
      </c>
      <c r="AQ31" s="173">
        <f t="shared" si="49"/>
        <v>1</v>
      </c>
      <c r="AR31" s="173">
        <f t="shared" si="49"/>
        <v>1</v>
      </c>
    </row>
  </sheetData>
  <sheetProtection algorithmName="SHA-512" hashValue="qKT/yTg+Fwtz2n2X3JZrxxMu1S57Tsi+7V5bMBzk6bcpNrdLR3EulO7Mtj1fo9ZOTfiSXUYl+vMlVUCFb+GMdQ==" saltValue="I9YjsKzgnAvmyZWq3pJl2A==" spinCount="100000" sheet="1" objects="1" scenarios="1"/>
  <mergeCells count="1">
    <mergeCell ref="E1:H2"/>
  </mergeCells>
  <dataValidations count="2">
    <dataValidation type="textLength" operator="equal" allowBlank="1" showInputMessage="1" showErrorMessage="1" prompt="Reinigung erfolgt 1 Mal monatlich." sqref="A22" xr:uid="{00000000-0002-0000-1700-000000000000}">
      <formula1>2</formula1>
    </dataValidation>
    <dataValidation type="textLength" operator="equal" allowBlank="1" showInputMessage="1" showErrorMessage="1" prompt="Reinigung erfolgt 2 Mal monatlich." sqref="A21" xr:uid="{00000000-0002-0000-1700-000001000000}">
      <formula1>2</formula1>
    </dataValidation>
  </dataValidations>
  <hyperlinks>
    <hyperlink ref="I1" location="Inhaltsverzeichnis!A1" display="Zurück zum Inhaltsverzeichnis" xr:uid="{00000000-0004-0000-1700-000000000000}"/>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&amp;RReinigungstage&amp;LStadt Harzgerode&amp;C&amp;P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ltText="Hinweis">
                <anchor moveWithCells="1">
                  <from>
                    <xdr:col>3</xdr:col>
                    <xdr:colOff>47625</xdr:colOff>
                    <xdr:row>0</xdr:row>
                    <xdr:rowOff>142875</xdr:rowOff>
                  </from>
                  <to>
                    <xdr:col>3</xdr:col>
                    <xdr:colOff>771525</xdr:colOff>
                    <xdr:row>0</xdr:row>
                    <xdr:rowOff>390525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D67B3E56-A9AA-443A-BF65-173AB6BE0C4D}">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76F40F56-8083-4478-9D8F-A04379D50268}">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37</vt:i4>
      </vt:variant>
      <vt:variant>
        <vt:lpstr>Benannte Bereiche</vt:lpstr>
      </vt:variant>
      <vt:variant>
        <vt:i4>58</vt:i4>
      </vt:variant>
    </vt:vector>
  </HeadingPairs>
  <TitlesOfParts>
    <vt:vector size="95" baseType="lpstr">
      <vt:lpstr>Inhaltsverzeichnis</vt:lpstr>
      <vt:lpstr>Preisübersicht</vt:lpstr>
      <vt:lpstr>Preisübersicht (nach Bedarf)</vt:lpstr>
      <vt:lpstr>SVS UnterhaltsRG</vt:lpstr>
      <vt:lpstr>SVS GrundRG</vt:lpstr>
      <vt:lpstr>SVS Regiestunden Prallschutz</vt:lpstr>
      <vt:lpstr>SVS Regiestunden Trainingslager</vt:lpstr>
      <vt:lpstr>SVS UnterhaltsRG öff WC</vt:lpstr>
      <vt:lpstr>Kal Unter Bremmel TH</vt:lpstr>
      <vt:lpstr>Kal Unter Bed Bremmel TH</vt:lpstr>
      <vt:lpstr>Kal Grund Bremmel TH</vt:lpstr>
      <vt:lpstr>Kal Unter Grundschule</vt:lpstr>
      <vt:lpstr>Kal Unter Fer Grundschule</vt:lpstr>
      <vt:lpstr>Kal Grund Grundschule</vt:lpstr>
      <vt:lpstr>Kal Unter Hallenbad</vt:lpstr>
      <vt:lpstr>Kal Grund Hallenbad</vt:lpstr>
      <vt:lpstr>Kal Unter Lehrschwimmbad</vt:lpstr>
      <vt:lpstr>Kal Grund Lehrschwimmbad</vt:lpstr>
      <vt:lpstr>Kal Unter öffentl WC</vt:lpstr>
      <vt:lpstr>Kal Unter Bed öffentl WC</vt:lpstr>
      <vt:lpstr>Kal Unter Rathaus</vt:lpstr>
      <vt:lpstr>Kal Unter Schloss Ost</vt:lpstr>
      <vt:lpstr>Kal Unter Bed Schloss Ost</vt:lpstr>
      <vt:lpstr>Kal Unter Schloss West</vt:lpstr>
      <vt:lpstr>Kal Unter SchlossWest RZ</vt:lpstr>
      <vt:lpstr>Kal Unter Stadtinfo</vt:lpstr>
      <vt:lpstr>Kal Unter Verwaltung I</vt:lpstr>
      <vt:lpstr>Kal Unter Verwaltung II</vt:lpstr>
      <vt:lpstr>Kal Matten Gesamt</vt:lpstr>
      <vt:lpstr>Kal Pflegefilm Bed</vt:lpstr>
      <vt:lpstr>Kal Rohre u Balken Gesamt</vt:lpstr>
      <vt:lpstr>Kal Sonstiges Gesamt</vt:lpstr>
      <vt:lpstr>Kal Glasvitrinen Gesamt</vt:lpstr>
      <vt:lpstr>Kal Regie Prallschutz</vt:lpstr>
      <vt:lpstr>Kal Regie Trainingslager</vt:lpstr>
      <vt:lpstr>Kal Umkleidespinde Gesamt</vt:lpstr>
      <vt:lpstr>Reinigungstage</vt:lpstr>
      <vt:lpstr>Inhaltsverzeichnis!Druckbereich</vt:lpstr>
      <vt:lpstr>'Kal Glasvitrinen Gesamt'!Druckbereich</vt:lpstr>
      <vt:lpstr>'Kal Grund Bremmel TH'!Druckbereich</vt:lpstr>
      <vt:lpstr>'Kal Grund Grundschule'!Druckbereich</vt:lpstr>
      <vt:lpstr>'Kal Grund Hallenbad'!Druckbereich</vt:lpstr>
      <vt:lpstr>'Kal Grund Lehrschwimmbad'!Druckbereich</vt:lpstr>
      <vt:lpstr>'Kal Matten Gesamt'!Druckbereich</vt:lpstr>
      <vt:lpstr>'Kal Pflegefilm Bed'!Druckbereich</vt:lpstr>
      <vt:lpstr>'Kal Regie Prallschutz'!Druckbereich</vt:lpstr>
      <vt:lpstr>'Kal Regie Trainingslager'!Druckbereich</vt:lpstr>
      <vt:lpstr>'Kal Rohre u Balken Gesamt'!Druckbereich</vt:lpstr>
      <vt:lpstr>'Kal Sonstiges Gesamt'!Druckbereich</vt:lpstr>
      <vt:lpstr>'Kal Umkleidespinde Gesamt'!Druckbereich</vt:lpstr>
      <vt:lpstr>'Kal Unter Bed Bremmel TH'!Druckbereich</vt:lpstr>
      <vt:lpstr>'Kal Unter Bed öffentl WC'!Druckbereich</vt:lpstr>
      <vt:lpstr>'Kal Unter Bed Schloss Ost'!Druckbereich</vt:lpstr>
      <vt:lpstr>'Kal Unter Bremmel TH'!Druckbereich</vt:lpstr>
      <vt:lpstr>'Kal Unter Fer Grundschule'!Druckbereich</vt:lpstr>
      <vt:lpstr>'Kal Unter Grundschule'!Druckbereich</vt:lpstr>
      <vt:lpstr>'Kal Unter Hallenbad'!Druckbereich</vt:lpstr>
      <vt:lpstr>'Kal Unter Lehrschwimmbad'!Druckbereich</vt:lpstr>
      <vt:lpstr>'Kal Unter öffentl WC'!Druckbereich</vt:lpstr>
      <vt:lpstr>'Kal Unter Rathaus'!Druckbereich</vt:lpstr>
      <vt:lpstr>'Kal Unter Schloss Ost'!Druckbereich</vt:lpstr>
      <vt:lpstr>'Kal Unter Schloss West'!Druckbereich</vt:lpstr>
      <vt:lpstr>'Kal Unter SchlossWest RZ'!Druckbereich</vt:lpstr>
      <vt:lpstr>'Kal Unter Stadtinfo'!Druckbereich</vt:lpstr>
      <vt:lpstr>'Kal Unter Verwaltung I'!Druckbereich</vt:lpstr>
      <vt:lpstr>'Kal Unter Verwaltung II'!Druckbereich</vt:lpstr>
      <vt:lpstr>Preisübersicht!Druckbereich</vt:lpstr>
      <vt:lpstr>'Preisübersicht (nach Bedarf)'!Druckbereich</vt:lpstr>
      <vt:lpstr>'SVS GrundRG'!Druckbereich</vt:lpstr>
      <vt:lpstr>'SVS Regiestunden Prallschutz'!Druckbereich</vt:lpstr>
      <vt:lpstr>'SVS Regiestunden Trainingslager'!Druckbereich</vt:lpstr>
      <vt:lpstr>'SVS UnterhaltsRG'!Druckbereich</vt:lpstr>
      <vt:lpstr>'SVS UnterhaltsRG öff WC'!Druckbereich</vt:lpstr>
      <vt:lpstr>'Kal Grund Bremmel TH'!Drucktitel</vt:lpstr>
      <vt:lpstr>'Kal Grund Grundschule'!Drucktitel</vt:lpstr>
      <vt:lpstr>'Kal Grund Hallenbad'!Drucktitel</vt:lpstr>
      <vt:lpstr>'Kal Grund Lehrschwimmbad'!Drucktitel</vt:lpstr>
      <vt:lpstr>'Kal Unter Bed Bremmel TH'!Drucktitel</vt:lpstr>
      <vt:lpstr>'Kal Unter Bed öffentl WC'!Drucktitel</vt:lpstr>
      <vt:lpstr>'Kal Unter Bed Schloss Ost'!Drucktitel</vt:lpstr>
      <vt:lpstr>'Kal Unter Bremmel TH'!Drucktitel</vt:lpstr>
      <vt:lpstr>'Kal Unter Fer Grundschule'!Drucktitel</vt:lpstr>
      <vt:lpstr>'Kal Unter Grundschule'!Drucktitel</vt:lpstr>
      <vt:lpstr>'Kal Unter Hallenbad'!Drucktitel</vt:lpstr>
      <vt:lpstr>'Kal Unter Lehrschwimmbad'!Drucktitel</vt:lpstr>
      <vt:lpstr>'Kal Unter öffentl WC'!Drucktitel</vt:lpstr>
      <vt:lpstr>'Kal Unter Rathaus'!Drucktitel</vt:lpstr>
      <vt:lpstr>'Kal Unter Schloss Ost'!Drucktitel</vt:lpstr>
      <vt:lpstr>'Kal Unter Schloss West'!Drucktitel</vt:lpstr>
      <vt:lpstr>'Kal Unter SchlossWest RZ'!Drucktitel</vt:lpstr>
      <vt:lpstr>'Kal Unter Stadtinfo'!Drucktitel</vt:lpstr>
      <vt:lpstr>'Kal Unter Verwaltung I'!Drucktitel</vt:lpstr>
      <vt:lpstr>'Kal Unter Verwaltung II'!Drucktitel</vt:lpstr>
      <vt:lpstr>Preisübersicht!Drucktitel</vt:lpstr>
      <vt:lpstr>'Preisübersicht (nach Bedarf)'!Drucktitel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Zander</dc:creator>
  <cp:lastModifiedBy>Torsten Günther</cp:lastModifiedBy>
  <cp:lastPrinted>2025-04-15T06:46:33Z</cp:lastPrinted>
  <dcterms:created xsi:type="dcterms:W3CDTF">2012-06-08T19:50:39Z</dcterms:created>
  <dcterms:modified xsi:type="dcterms:W3CDTF">2025-04-16T07:47:19Z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ad21cca4-380d-4149-a11d-405a40d038e6</vt:lpwstr>
  </property>
</Properties>
</file>